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ck49rB0XTJEzRiDFGf+35N28fdtXtn9+zvTOcbqnGLeq5bv2fF7Jxc6t9x3EJ43qcqEC3JV9dFmfa1nOeXZaWg==" workbookSaltValue="BBQ/oaw7uMe5Vn9gtRazR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0" i="12"/>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<sst xmlns="http://schemas.openxmlformats.org/spreadsheetml/2006/main" count="2527" uniqueCount="1027">
  <si>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</si>
  <si>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</si>
  <si>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</si>
  <si>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</si>
  <si>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</si>
  <si>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</si>
  <si>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</si>
  <si>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</si>
  <si>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</si>
  <si>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</si>
  <si>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</si>
  <si>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</si>
  <si>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</si>
  <si>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</si>
  <si>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</si>
  <si>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</si>
  <si>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</si>
  <si>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</si>
  <si>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</si>
  <si>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</si>
  <si>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</si>
  <si>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</si>
  <si>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</si>
  <si>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</si>
  <si>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</si>
  <si>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</si>
  <si>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</si>
  <si>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</si>
  <si>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</si>
  <si>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</si>
  <si>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</si>
  <si>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</si>
  <si>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</si>
  <si>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</si>
  <si>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</si>
  <si>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</si>
  <si>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</si>
  <si>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</si>
  <si>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</si>
  <si>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</si>
  <si>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</si>
  <si>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</si>
  <si>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</si>
  <si>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</si>
  <si>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</si>
  <si>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</si>
  <si>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</si>
  <si>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</si>
  <si>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</si>
  <si>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</si>
  <si>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</si>
  <si>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</si>
  <si>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</si>
  <si>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</si>
  <si>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</si>
  <si>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</si>
  <si>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</si>
  <si>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</si>
  <si>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</si>
  <si>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</si>
  <si>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</si>
  <si>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</si>
  <si>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</si>
  <si>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</si>
  <si>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</si>
  <si>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</si>
  <si>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</si>
  <si>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</si>
  <si>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</si>
  <si>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</si>
  <si>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</si>
  <si>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</si>
  <si>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</si>
  <si>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</si>
  <si>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</si>
  <si>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</si>
  <si>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</si>
  <si>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</si>
  <si>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</si>
  <si>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</si>
  <si>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</si>
  <si>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</si>
  <si>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</si>
  <si>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</si>
  <si>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</si>
  <si>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</si>
  <si>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</si>
  <si>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</si>
  <si>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</si>
  <si>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</si>
  <si>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</si>
  <si>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</si>
  <si>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</si>
  <si>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</si>
  <si>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</si>
  <si>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</si>
  <si>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</si>
  <si>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</si>
  <si>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</si>
  <si>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</si>
  <si>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</si>
  <si>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</si>
  <si>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</si>
  <si>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</si>
  <si>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</si>
  <si>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</si>
  <si>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</si>
  <si>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</si>
  <si>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</si>
  <si>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</si>
  <si>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</si>
  <si>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</si>
  <si>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</si>
  <si>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</si>
  <si>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</si>
  <si>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</si>
  <si>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</si>
  <si>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</si>
  <si>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</si>
  <si>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</si>
  <si>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</si>
  <si>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</si>
  <si>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</si>
  <si>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</si>
  <si>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</si>
  <si>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</si>
  <si>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</si>
  <si>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</si>
  <si>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</si>
  <si>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</si>
  <si>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</si>
  <si>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</si>
  <si>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</si>
  <si>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</si>
  <si>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</si>
  <si>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</si>
  <si>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</si>
  <si>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</si>
  <si>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</si>
  <si>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</si>
  <si>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</si>
  <si>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</si>
  <si>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</si>
  <si>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</si>
  <si>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</si>
  <si>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</si>
  <si>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</si>
  <si>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</si>
  <si>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</si>
  <si>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</si>
  <si>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</si>
  <si>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</si>
  <si>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</si>
  <si>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</si>
  <si>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</si>
  <si>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</si>
  <si>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</si>
  <si>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</si>
  <si>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</si>
  <si>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</si>
  <si>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</si>
  <si>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</si>
  <si>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</si>
  <si>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</si>
  <si>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</si>
  <si>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</si>
  <si>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</si>
  <si>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</si>
  <si>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</si>
  <si>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</si>
  <si>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</si>
  <si>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</si>
  <si>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</si>
  <si>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</si>
  <si>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</si>
  <si>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</si>
  <si>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</si>
  <si>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</si>
  <si>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</si>
  <si>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</si>
  <si>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</si>
  <si>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</si>
  <si>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</si>
  <si>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</si>
  <si>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</si>
  <si>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</si>
  <si>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</si>
  <si>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</si>
  <si>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</si>
  <si>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</si>
  <si>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</si>
  <si>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</si>
  <si>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</si>
  <si>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</si>
  <si>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</si>
  <si>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</si>
  <si>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</si>
  <si>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</si>
  <si>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</si>
  <si>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</si>
  <si>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</si>
  <si>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</si>
  <si>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</si>
  <si>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</si>
  <si>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</si>
  <si>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</si>
  <si>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</si>
  <si>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</si>
  <si>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</si>
  <si>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</si>
  <si>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</si>
  <si>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</si>
  <si>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</si>
  <si>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</si>
  <si>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</si>
  <si>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</si>
  <si>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</si>
  <si>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</si>
  <si>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</si>
  <si>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</si>
  <si>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</si>
  <si>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</si>
  <si>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</si>
  <si>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</si>
  <si>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</si>
  <si>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</si>
  <si>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</si>
  <si>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</si>
  <si>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</si>
  <si>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</si>
  <si>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</si>
  <si>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</si>
  <si>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</si>
  <si>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</si>
  <si>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</si>
  <si>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</si>
  <si>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</si>
  <si>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</si>
  <si>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</si>
  <si>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</si>
  <si>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</si>
  <si>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</si>
  <si>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</si>
  <si>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</si>
  <si>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</si>
  <si>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</si>
  <si>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</si>
  <si>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</si>
  <si>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</si>
  <si>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</si>
  <si>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</si>
  <si>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</si>
  <si>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</si>
  <si>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</si>
  <si>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</si>
  <si>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</si>
  <si>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</si>
  <si>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</si>
  <si>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</si>
  <si>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</si>
  <si>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</si>
  <si>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</si>
  <si>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</si>
  <si>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</si>
  <si>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</si>
  <si>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</si>
  <si>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</si>
  <si>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</si>
  <si>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</si>
  <si>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</si>
  <si>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</si>
  <si>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</si>
  <si>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</si>
  <si>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</si>
  <si>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</si>
  <si>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</si>
  <si>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</si>
  <si>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</si>
  <si>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</si>
  <si>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</si>
  <si>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</si>
  <si>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</si>
  <si>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</si>
  <si>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</si>
  <si>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</si>
  <si>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</si>
  <si>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</si>
  <si>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</si>
  <si>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</si>
  <si>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</si>
  <si>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</si>
  <si>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</si>
  <si>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</si>
  <si>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</si>
  <si>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</si>
  <si>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</si>
  <si>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</si>
  <si>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</si>
  <si>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</si>
  <si>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</si>
  <si>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</si>
  <si>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</si>
  <si>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</si>
  <si>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</si>
  <si>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</si>
  <si>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</si>
  <si>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</si>
  <si>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</si>
  <si>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</si>
  <si>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</si>
  <si>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</si>
  <si>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</si>
  <si>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</si>
  <si>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</si>
  <si>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</si>
  <si>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</si>
  <si>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</si>
  <si>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</si>
  <si>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</si>
  <si>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</si>
  <si>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</si>
  <si>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</si>
  <si>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</si>
  <si>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</si>
  <si>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</si>
  <si>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</si>
  <si>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</si>
  <si>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</si>
  <si>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</si>
  <si>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</si>
  <si>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</si>
  <si>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</si>
  <si>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</si>
  <si>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</si>
  <si>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</si>
  <si>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</si>
  <si>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</si>
  <si>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</si>
  <si>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</si>
  <si>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</si>
  <si>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</si>
  <si>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</si>
  <si>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</si>
  <si>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</si>
  <si>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</si>
  <si>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</si>
  <si>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</si>
  <si>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</si>
  <si>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</si>
  <si>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</si>
  <si>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</si>
  <si>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</si>
  <si>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</si>
  <si>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</si>
  <si>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</si>
  <si>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</si>
  <si>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</si>
  <si>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</si>
  <si>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</si>
  <si>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</si>
  <si>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</si>
  <si>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</si>
  <si>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</si>
  <si>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</si>
  <si>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</si>
  <si>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</si>
  <si>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</si>
  <si>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</si>
  <si>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</si>
  <si>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</si>
  <si>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</si>
  <si>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</si>
  <si>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</si>
  <si>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</si>
  <si>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</si>
  <si>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</si>
  <si>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</si>
  <si>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</si>
  <si>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</si>
  <si>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</si>
  <si>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</si>
  <si>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</si>
  <si>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</si>
  <si>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</si>
  <si>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</si>
  <si>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</si>
  <si>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</si>
  <si>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</si>
  <si>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</si>
  <si>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</si>
  <si>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</si>
  <si>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</si>
  <si>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</si>
  <si>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</si>
  <si>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</si>
  <si>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</si>
  <si>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</si>
  <si>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</si>
  <si>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</si>
  <si>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</si>
  <si>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</si>
  <si>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</si>
  <si>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</si>
  <si>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</si>
  <si>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</si>
  <si>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</si>
  <si>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</si>
  <si>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</si>
  <si>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</si>
  <si>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</si>
  <si>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</si>
  <si>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</si>
  <si>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</si>
  <si>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</si>
  <si>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</si>
  <si>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</si>
  <si>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</si>
  <si>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</si>
  <si>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</si>
  <si>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</si>
  <si>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</si>
  <si>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</si>
  <si>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</si>
  <si>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</si>
  <si>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</si>
  <si>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</si>
  <si>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</si>
  <si>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</si>
  <si>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</si>
  <si>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</si>
  <si>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</si>
  <si>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</si>
  <si>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</si>
  <si>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</si>
  <si>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</si>
  <si>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</si>
  <si>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</si>
  <si>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</si>
  <si>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</si>
  <si>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</si>
  <si>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</si>
  <si>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</si>
  <si>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</si>
  <si>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</si>
  <si>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</si>
  <si>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</si>
  <si>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</si>
  <si>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</si>
  <si>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</si>
  <si>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</si>
  <si>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</si>
  <si>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</si>
  <si>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</si>
  <si>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</si>
  <si>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</si>
  <si>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</si>
  <si>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</si>
  <si>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</si>
  <si>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</si>
  <si>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</si>
  <si>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</si>
  <si>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</si>
  <si>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</si>
  <si>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</si>
  <si>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</si>
  <si>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</si>
  <si>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</si>
  <si>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</si>
  <si>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</si>
  <si>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</si>
  <si>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</si>
  <si>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</si>
  <si>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</si>
  <si>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</si>
  <si>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</si>
  <si>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</si>
  <si>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</si>
  <si>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</si>
  <si>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</si>
  <si>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</si>
  <si>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</si>
  <si>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</si>
  <si>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</si>
  <si>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</si>
  <si>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</si>
  <si>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</si>
  <si>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</si>
  <si>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</si>
  <si>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</si>
  <si>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</si>
  <si>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</si>
  <si>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</si>
  <si>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</si>
  <si>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</si>
  <si>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</si>
  <si>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</si>
  <si>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</si>
  <si>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</si>
  <si>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</si>
  <si>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</si>
  <si>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</si>
  <si>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</si>
  <si>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</si>
  <si>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</si>
  <si>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</si>
  <si>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</si>
  <si>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</si>
  <si>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</si>
  <si>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</si>
  <si>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</si>
  <si>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</si>
  <si>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</si>
  <si>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</si>
  <si>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</si>
  <si>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</si>
  <si>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</si>
  <si>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</si>
  <si>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</si>
  <si>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</si>
  <si>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</si>
  <si>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</si>
  <si>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</si>
  <si>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</si>
  <si>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</si>
  <si>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</si>
  <si>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</si>
  <si>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</si>
  <si>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</si>
  <si>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</si>
  <si>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</si>
  <si>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</si>
  <si>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</si>
  <si>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</si>
  <si>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</si>
  <si>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</si>
  <si>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</si>
  <si>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</si>
  <si>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</si>
  <si>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</si>
  <si>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</si>
  <si>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</si>
  <si>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</si>
  <si>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</si>
  <si>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</si>
  <si>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</si>
  <si>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</si>
  <si>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</si>
  <si>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</si>
  <si>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</si>
  <si>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</si>
  <si>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</si>
  <si>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</si>
  <si>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</si>
  <si>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</si>
  <si>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</si>
  <si>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</si>
  <si>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</si>
  <si>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</si>
  <si>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</si>
  <si>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</si>
  <si>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</si>
  <si>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</si>
  <si>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</si>
  <si>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</si>
  <si>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</si>
  <si>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</si>
  <si>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</si>
  <si>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</si>
  <si>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</si>
  <si>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</si>
  <si>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</si>
  <si>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</si>
  <si>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</si>
  <si>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</si>
  <si>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</si>
  <si>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</si>
  <si>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</si>
  <si>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</si>
  <si>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</si>
  <si>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</si>
  <si>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</si>
  <si>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</si>
  <si>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</si>
  <si>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</si>
  <si>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</si>
  <si>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</si>
  <si>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</si>
  <si>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</si>
  <si>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</si>
  <si>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</si>
  <si>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</si>
  <si>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</si>
  <si>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</si>
  <si>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</si>
  <si>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</si>
  <si>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</si>
  <si>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</si>
  <si>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</si>
  <si>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</si>
  <si>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</si>
  <si>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</si>
  <si>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</si>
  <si>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</si>
  <si>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</si>
  <si>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</si>
  <si>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</si>
  <si>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</si>
  <si>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</si>
  <si>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</si>
  <si>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</si>
  <si>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</si>
  <si>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</si>
  <si>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</si>
  <si>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</si>
  <si>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</si>
  <si>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</si>
  <si>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</si>
  <si>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</si>
  <si>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</si>
  <si>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</si>
  <si>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</si>
  <si>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</si>
  <si>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</si>
  <si>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</si>
  <si>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</si>
  <si>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</si>
  <si>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</si>
  <si>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</si>
  <si>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</si>
  <si>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</si>
  <si>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</si>
  <si>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</si>
  <si>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</si>
  <si>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</si>
  <si>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</si>
  <si>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</si>
  <si>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</si>
  <si>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</si>
  <si>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</si>
  <si>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</si>
  <si>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</si>
  <si>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</si>
  <si>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</si>
  <si>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</si>
  <si>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</si>
  <si>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</si>
  <si>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</si>
  <si>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</si>
  <si>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</si>
  <si>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</si>
  <si>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</si>
  <si>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</si>
  <si>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</si>
  <si>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</si>
  <si>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</si>
  <si>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</si>
  <si>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</si>
  <si>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</si>
  <si>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</si>
  <si>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</si>
  <si>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</si>
  <si>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</si>
  <si>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</si>
  <si>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</si>
  <si>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</si>
  <si>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</si>
  <si>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</si>
  <si>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</si>
  <si>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</si>
  <si>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</si>
  <si>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</si>
  <si>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</si>
  <si>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</si>
  <si>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</si>
  <si>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</si>
  <si>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</si>
  <si>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</si>
  <si>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</si>
  <si>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</si>
  <si>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</si>
  <si>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</si>
  <si>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</si>
  <si>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</si>
  <si>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</si>
  <si>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</si>
  <si>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</si>
  <si>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</si>
  <si>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</si>
  <si>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</si>
  <si>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</si>
  <si>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</si>
  <si>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</si>
  <si>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</si>
  <si>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</si>
  <si>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</si>
  <si>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</si>
  <si>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</si>
  <si>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</si>
  <si>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</si>
  <si>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</si>
  <si>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</si>
  <si>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</si>
  <si>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</si>
  <si>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</si>
  <si>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</si>
  <si>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</si>
  <si>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</si>
  <si>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</si>
  <si>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</si>
  <si>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</si>
  <si>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</si>
  <si>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</si>
  <si>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</si>
  <si>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</si>
  <si>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</si>
  <si>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</si>
  <si>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</si>
  <si>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</si>
  <si>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</si>
  <si>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</si>
  <si>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</si>
  <si>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</si>
  <si>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</si>
  <si>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</si>
  <si>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</si>
  <si>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</si>
  <si>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</si>
  <si>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</si>
  <si>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</si>
  <si>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</si>
  <si>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</si>
  <si>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</si>
  <si>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</si>
  <si>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</si>
  <si>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</si>
  <si>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</si>
  <si>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</si>
  <si>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</si>
  <si>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</si>
  <si>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</si>
  <si>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</si>
  <si>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</si>
  <si>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</si>
  <si>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</si>
  <si>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</si>
  <si>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</si>
  <si>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</si>
  <si>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</si>
  <si>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</si>
  <si>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</si>
  <si>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</si>
  <si>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</si>
  <si>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</si>
  <si>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</si>
  <si>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</si>
  <si>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</si>
  <si>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</si>
  <si>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</si>
  <si>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</si>
  <si>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</si>
  <si>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</si>
  <si>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</si>
  <si>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</si>
  <si>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</si>
  <si>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</si>
  <si>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</si>
  <si>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</si>
  <si>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</si>
  <si>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</si>
  <si>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</si>
  <si>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</si>
  <si>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</si>
  <si>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</si>
  <si>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</si>
  <si>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</si>
  <si>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</si>
  <si>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</si>
  <si>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</si>
  <si>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</si>
  <si>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</si>
  <si>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</si>
  <si>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</si>
  <si>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</si>
  <si>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</si>
  <si>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</si>
  <si>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</si>
  <si>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</si>
  <si>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</si>
  <si>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</si>
  <si>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</si>
  <si>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</si>
  <si>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</si>
  <si>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</si>
  <si>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</si>
  <si>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</si>
  <si>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</si>
  <si>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</si>
  <si>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</si>
  <si>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</si>
  <si>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</si>
  <si>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</si>
  <si>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</si>
  <si>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</si>
  <si>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</si>
  <si>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</si>
  <si>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</si>
  <si>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</si>
  <si>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</si>
  <si>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</si>
  <si>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</si>
  <si>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</si>
  <si>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</si>
  <si>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</si>
  <si>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</si>
  <si>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</si>
  <si>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</si>
  <si>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</si>
  <si>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</si>
  <si>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</si>
  <si>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</si>
  <si>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</si>
  <si>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</si>
  <si>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</si>
  <si>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</si>
  <si>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</si>
  <si>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</si>
  <si>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</si>
  <si>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</si>
  <si>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</si>
  <si>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</si>
  <si>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</si>
  <si>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</si>
  <si>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</si>
  <si>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</si>
  <si>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</si>
  <si>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</si>
  <si>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</si>
  <si>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</si>
  <si>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</si>
  <si>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</si>
  <si>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</si>
  <si>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</si>
  <si>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</si>
  <si>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</si>
  <si>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</si>
  <si>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</si>
  <si>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</si>
  <si>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</si>
  <si>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</si>
  <si>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</si>
  <si>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</si>
  <si>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</si>
  <si>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</si>
  <si>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</si>
  <si>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</si>
  <si>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</si>
  <si>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</si>
  <si>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</si>
  <si>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</si>
  <si>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</si>
  <si>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</si>
  <si>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</si>
  <si>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</si>
  <si>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</si>
  <si>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</si>
  <si>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</si>
  <si>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</si>
  <si>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</si>
  <si>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</si>
  <si>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</si>
  <si>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</si>
  <si>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</si>
  <si>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</si>
  <si>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</si>
  <si>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</si>
  <si>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</si>
  <si>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</si>
  <si>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</si>
  <si>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</si>
  <si>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</si>
  <si>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</si>
  <si>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</si>
  <si>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</si>
  <si>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</si>
  <si>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</si>
  <si>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</si>
  <si>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</si>
  <si>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</si>
  <si>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</si>
  <si>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</si>
  <si>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</si>
  <si>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</si>
  <si>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</si>
  <si>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</si>
  <si>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</si>
  <si>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</si>
  <si>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</si>
  <si>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</si>
  <si>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</si>
  <si>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</si>
  <si>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</si>
  <si>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</si>
  <si>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</si>
  <si>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</si>
  <si>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</si>
  <si>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</si>
  <si>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</si>
  <si>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</si>
  <si>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</si>
  <si>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</si>
  <si>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</si>
  <si>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</si>
  <si>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</si>
  <si>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</si>
  <si>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</si>
  <si>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</si>
  <si>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</si>
  <si>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</si>
  <si>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</si>
  <si>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</si>
  <si>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</si>
  <si>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</si>
  <si>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</si>
  <si>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</si>
  <si>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</si>
  <si>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</si>
  <si>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</si>
  <si>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</si>
  <si>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</si>
  <si>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</si>
  <si>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</si>
  <si>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</si>
  <si>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</si>
  <si>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</si>
  <si>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</si>
  <si>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</si>
  <si>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</si>
  <si>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</si>
  <si>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</si>
  <si>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</si>
  <si>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</si>
  <si>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</si>
  <si>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</si>
  <si>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</si>
  <si>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</si>
  <si>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</si>
  <si>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</si>
  <si>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</si>
  <si>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</si>
  <si>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</si>
  <si>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</si>
  <si>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</si>
  <si>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</si>
  <si>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</si>
  <si>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</si>
  <si>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</si>
  <si>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</si>
  <si>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</si>
  <si>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</si>
  <si>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</si>
  <si>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</si>
  <si>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</si>
  <si>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</si>
  <si>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</si>
  <si>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</si>
  <si>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</si>
  <si>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</si>
  <si>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</si>
  <si>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</si>
  <si>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</si>
  <si>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</si>
  <si>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</si>
  <si>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</si>
  <si>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</si>
  <si>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</si>
  <si>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</si>
  <si>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</si>
  <si>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</si>
  <si>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</si>
  <si>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</si>
  <si>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</si>
  <si>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</si>
  <si>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</si>
  <si>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</si>
  <si>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</si>
  <si>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</si>
  <si>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</si>
  <si>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</si>
  <si>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</si>
  <si>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</si>
  <si>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</si>
  <si>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</si>
  <si>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</si>
  <si>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</si>
  <si>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</si>
  <si>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</si>
  <si>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</si>
  <si>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</si>
  <si>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</si>
  <si>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</si>
  <si>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</si>
  <si>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</si>
  <si>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</si>
  <si>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</si>
  <si>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</si>
  <si>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</si>
  <si>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</si>
  <si>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</si>
  <si>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</si>
  <si>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</si>
  <si>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</si>
  <si>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</si>
  <si>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</si>
  <si>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</si>
  <si>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</si>
  <si>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</si>
  <si>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</si>
  <si>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</si>
  <si>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</si>
  <si>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</si>
  <si>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</si>
  <si>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</si>
  <si>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</si>
  <si>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</si>
  <si>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</si>
  <si>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</si>
  <si>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PRAT DE LLOBREGAT, 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</si>
</sst>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Cm/CdypGkvg1TUkrUIF+NGd5NEsJgCO+0Z6z1bDbpZbKbCogHREi4nJEyBkdQR12nDke571O/YvhB0CVOa5dg==" saltValue="Rn2YNt6bw0MM3CqMOfO0o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PRAT DE LLOBREGAT, EL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53</v>
      </c>
      <c r="D10" s="403">
        <f>IF(ISNUMBER(C10/Datos!BH10),C10/Datos!BH10," - ")</f>
        <v>53</v>
      </c>
      <c r="E10" s="402">
        <f>IF(ISNUMBER(Datos!J10),Datos!J10," - ")</f>
        <v>1</v>
      </c>
      <c r="F10" s="403">
        <f>IF(ISNUMBER(E10/B10),E10/B10," - ")</f>
        <v>1</v>
      </c>
      <c r="G10" s="402">
        <f>IF(ISNUMBER(Datos!K10),Datos!K10," - ")</f>
        <v>0</v>
      </c>
      <c r="H10" s="403">
        <f>IF(ISNUMBER(G10/B10),G10/B10," - ")</f>
        <v>0</v>
      </c>
      <c r="I10" s="402">
        <f>IF(ISNUMBER(Datos!L10),Datos!L10," - ")</f>
        <v>54</v>
      </c>
      <c r="J10" s="403">
        <f>IF(ISNUMBER(I10/B10),I10/B10," - ")</f>
        <v>54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10887</v>
      </c>
      <c r="D12" s="403">
        <f>IF(ISNUMBER(C12/Datos!BH12),C12/Datos!BH12," - ")</f>
        <v>2177.4</v>
      </c>
      <c r="E12" s="402">
        <f>IF(ISNUMBER(IF(J_V="SI",Datos!J12,Datos!J12+Datos!Z12)),IF(J_V="SI",Datos!J12,Datos!J12+Datos!Z12)," - ")</f>
        <v>2278</v>
      </c>
      <c r="F12" s="403">
        <f>IF(ISNUMBER(E12/B12),E12/B12," - ")</f>
        <v>455.6</v>
      </c>
      <c r="G12" s="402">
        <f>IF(ISNUMBER(IF(J_V="SI",Datos!K12,Datos!K12+Datos!AA12)),IF(J_V="SI",Datos!K12,Datos!K12+Datos!AA12)," - ")</f>
        <v>1342</v>
      </c>
      <c r="H12" s="403">
        <f>IF(ISNUMBER(G12/B12),G12/B12," - ")</f>
        <v>268.39999999999998</v>
      </c>
      <c r="I12" s="402">
        <f>IF(ISNUMBER(IF(J_V="SI",Datos!L12,Datos!L12+Datos!AB12)),IF(J_V="SI",Datos!L12,Datos!L12+Datos!AB12)," - ")</f>
        <v>11823</v>
      </c>
      <c r="J12" s="403">
        <f>IF(ISNUMBER(I12/B12),I12/B12," - ")</f>
        <v>2364.6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10940</v>
      </c>
      <c r="D13" s="847" t="str">
        <f>IF(ISNUMBER(C13/Datos!BI13),C13/Datos!BI13," - ")</f>
        <v xml:space="preserve"> - </v>
      </c>
      <c r="E13" s="846">
        <f>SUBTOTAL(9,E8:E12)</f>
        <v>2279</v>
      </c>
      <c r="F13" s="847">
        <f>IF(ISNUMBER(E13/B13),E13/B13," - ")</f>
        <v>455.8</v>
      </c>
      <c r="G13" s="846">
        <f>SUBTOTAL(9,G8:G12)</f>
        <v>1342</v>
      </c>
      <c r="H13" s="847">
        <f>IF(ISNUMBER(G13/B13),G13/B13," - ")</f>
        <v>268.39999999999998</v>
      </c>
      <c r="I13" s="846">
        <f>SUBTOTAL(9,I8:I12)</f>
        <v>11877</v>
      </c>
      <c r="J13" s="847">
        <f>IF(ISNUMBER(I13/B13),I13/B13," - ")</f>
        <v>2375.4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3502</v>
      </c>
      <c r="D17" s="403">
        <f>IF(ISNUMBER(C17/Datos!BH17),C17/Datos!BH17," - ")</f>
        <v>700.4</v>
      </c>
      <c r="E17" s="402">
        <f>IF(ISNUMBER(IF(D_I="SI",Datos!J17,Datos!J17+Datos!AD17)),IF(D_I="SI",Datos!J17,Datos!J17+Datos!AD17)," - ")</f>
        <v>2179</v>
      </c>
      <c r="F17" s="403">
        <f>IF(ISNUMBER(E17/B17),E17/B17," - ")</f>
        <v>435.8</v>
      </c>
      <c r="G17" s="402">
        <f>IF(ISNUMBER(IF(D_I="SI",Datos!K17,Datos!K17+Datos!AE17)),IF(D_I="SI",Datos!K17,Datos!K17+Datos!AE17)," - ")</f>
        <v>2527</v>
      </c>
      <c r="H17" s="403">
        <f>IF(ISNUMBER(G17/B17),G17/B17," - ")</f>
        <v>505.4</v>
      </c>
      <c r="I17" s="402">
        <f>IF(ISNUMBER(IF(D_I="SI",Datos!L17,Datos!L17+Datos!AF17)),IF(D_I="SI",Datos!L17,Datos!L17+Datos!AF17)," - ")</f>
        <v>3160</v>
      </c>
      <c r="J17" s="403">
        <f>IF(ISNUMBER(I17/B17),I17/B17," - ")</f>
        <v>632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131</v>
      </c>
      <c r="D18" s="403">
        <f>IF(ISNUMBER(C18/Datos!BH18),C18/Datos!BH18," - ")</f>
        <v>131</v>
      </c>
      <c r="E18" s="402">
        <f>IF(ISNUMBER(IF(D_I="SI",Datos!J18,Datos!J18+Datos!AD18)),IF(D_I="SI",Datos!J18,Datos!J18+Datos!AD18)," - ")</f>
        <v>92</v>
      </c>
      <c r="F18" s="403">
        <f>IF(ISNUMBER(E18/B18),E18/B18," - ")</f>
        <v>92</v>
      </c>
      <c r="G18" s="402">
        <f>IF(ISNUMBER(IF(D_I="SI",Datos!K18,Datos!K18+Datos!AE18)),IF(D_I="SI",Datos!K18,Datos!K18+Datos!AE18)," - ")</f>
        <v>67</v>
      </c>
      <c r="H18" s="403">
        <f>IF(ISNUMBER(G18/B18),G18/B18," - ")</f>
        <v>67</v>
      </c>
      <c r="I18" s="402">
        <f>IF(ISNUMBER(IF(D_I="SI",Datos!L18,Datos!L18+Datos!AF18)),IF(D_I="SI",Datos!L18,Datos!L18+Datos!AF18)," - ")</f>
        <v>154</v>
      </c>
      <c r="J18" s="403">
        <f>IF(ISNUMBER(I18/B18),I18/B18," - ")</f>
        <v>154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3633</v>
      </c>
      <c r="D19" s="847" t="str">
        <f>IF(ISNUMBER(C19/Datos!BI19),C19/Datos!BI19," - ")</f>
        <v xml:space="preserve"> - </v>
      </c>
      <c r="E19" s="846">
        <f>SUBTOTAL(9,E14:E18)</f>
        <v>2271</v>
      </c>
      <c r="F19" s="847">
        <f>IF(ISNUMBER(E19/B19),E19/B19," - ")</f>
        <v>454.2</v>
      </c>
      <c r="G19" s="846">
        <f>SUBTOTAL(9,G14:G18)</f>
        <v>2594</v>
      </c>
      <c r="H19" s="847">
        <f>IF(ISNUMBER(G19/B19),G19/B19," - ")</f>
        <v>518.79999999999995</v>
      </c>
      <c r="I19" s="846">
        <f>SUBTOTAL(9,I14:I18)</f>
        <v>3314</v>
      </c>
      <c r="J19" s="847">
        <f>IF(ISNUMBER(I19/B19),I19/B19," - ")</f>
        <v>662.8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14573</v>
      </c>
      <c r="D20" s="792" t="str">
        <f>IF(ISNUMBER(C20/Datos!BI20),C20/Datos!BI20," - ")</f>
        <v xml:space="preserve"> - </v>
      </c>
      <c r="E20" s="791">
        <f>SUBTOTAL(9,E9:E19)</f>
        <v>4550</v>
      </c>
      <c r="F20" s="792">
        <f>IF(ISNUMBER(E20/B20),E20/B20," - ")</f>
        <v>910</v>
      </c>
      <c r="G20" s="791">
        <f>SUBTOTAL(9,G9:G19)</f>
        <v>3936</v>
      </c>
      <c r="H20" s="792">
        <f>IF(ISNUMBER(G20/B20),G20/B20," - ")</f>
        <v>787.2</v>
      </c>
      <c r="I20" s="791">
        <f>SUBTOTAL(9,I9:I19)</f>
        <v>15191</v>
      </c>
      <c r="J20" s="792">
        <f>IF(ISNUMBER(I20/B20),I20/B20," - ")</f>
        <v>3038.2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OBjDmJ8l/PElOF/1ardWX8cUB6vUrxs5mCpGbG2151Hba0mzo3w7AGu4TgcMidQkYMF5tGy+YGYmJVorc9WTw==" saltValue="7wDHtHoFPRNNyh2Zohkfb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PRAT DE LLOBREGAT, EL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yXhV8E/iU08f1AHyPQdNDw92j7qxRfoQoiNUfS/yuMPzhDopZnkrp4vtyLHJZ1j5Nbrk9E7x6n2rrc7skGNOw==" saltValue="9hRWDqaSN0zwytoH2dhqM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PRAT DE LLOBREGAT, EL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432</v>
      </c>
      <c r="E12" s="403">
        <f t="shared" si="0"/>
        <v>86.4</v>
      </c>
      <c r="F12" s="402">
        <f>IF(ISNUMBER(Datos!N12),Datos!N12," - ")</f>
        <v>435</v>
      </c>
      <c r="G12" s="403">
        <f t="shared" si="1"/>
        <v>87</v>
      </c>
      <c r="H12" s="402">
        <f>IF(ISNUMBER(Datos!O12),Datos!O12," - ")</f>
        <v>498</v>
      </c>
      <c r="I12" s="403">
        <f t="shared" si="2"/>
        <v>99.6</v>
      </c>
      <c r="BZ12" s="1181">
        <f>Datos!EZ12</f>
        <v>0</v>
      </c>
    </row>
    <row r="13" spans="1:78" ht="14.25" thickTop="1" thickBot="1">
      <c r="A13" s="845" t="str">
        <f>Datos!A13</f>
        <v>TOTAL</v>
      </c>
      <c r="B13" s="846">
        <f>Datos!AP13</f>
        <v>5</v>
      </c>
      <c r="C13" s="848">
        <f>Datos!AR13</f>
        <v>5</v>
      </c>
      <c r="D13" s="846">
        <f>SUBTOTAL(9,D9:D12)</f>
        <v>432</v>
      </c>
      <c r="E13" s="847">
        <f t="shared" si="0"/>
        <v>86.4</v>
      </c>
      <c r="F13" s="846">
        <f>SUBTOTAL(9,F9:F12)</f>
        <v>435</v>
      </c>
      <c r="G13" s="847">
        <f t="shared" si="1"/>
        <v>87</v>
      </c>
      <c r="H13" s="846">
        <f>SUBTOTAL(9,H9:H12)</f>
        <v>498</v>
      </c>
      <c r="I13" s="847">
        <f>IF(ISNUMBER(H13/B13),H13/B13," - ")</f>
        <v>99.6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249</v>
      </c>
      <c r="E17" s="403">
        <f t="shared" si="3"/>
        <v>49.8</v>
      </c>
      <c r="F17" s="402">
        <f>IF(ISNUMBER(Datos!N17),Datos!N17," - ")</f>
        <v>1575</v>
      </c>
      <c r="G17" s="403">
        <f t="shared" si="4"/>
        <v>315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45</v>
      </c>
      <c r="G18" s="403">
        <f>IF(ISNUMBER(F18/B18),F18/B18," - ")</f>
        <v>45</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251</v>
      </c>
      <c r="E19" s="847">
        <f t="shared" si="3"/>
        <v>50.2</v>
      </c>
      <c r="F19" s="846">
        <f>SUBTOTAL(9,F15:F18)</f>
        <v>1620</v>
      </c>
      <c r="G19" s="847">
        <f t="shared" si="4"/>
        <v>324</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683</v>
      </c>
      <c r="E20" s="792">
        <f>IF(ISNUMBER(D20/B20),D20/B20," - ")</f>
        <v>136.6</v>
      </c>
      <c r="F20" s="791">
        <f>SUBTOTAL(9,F8:F19)</f>
        <v>2055</v>
      </c>
      <c r="G20" s="792">
        <f>IF(ISNUMBER(F20/B20),F20/B20," - ")</f>
        <v>411</v>
      </c>
      <c r="H20" s="791">
        <f>SUBTOTAL(9,H8:H19)</f>
        <v>498</v>
      </c>
      <c r="I20" s="792">
        <f>IF(ISNUMBER(H20/B20),H20/B20," - ")</f>
        <v>99.6</v>
      </c>
    </row>
    <row r="23" spans="1:78">
      <c r="A23" s="390" t="str">
        <f>Criterios!A4</f>
        <v>Fecha Informe: 06 oct. 2026</v>
      </c>
    </row>
    <row r="28" spans="1:78">
      <c r="A28" s="413"/>
    </row>
  </sheetData>
  <sheetProtection algorithmName="SHA-512" hashValue="aPZkf/sF1CfM2mwkPPCeYj0yJYNa4DWc8bGf1A+HNO+WXpBzfL4ZnIGAnfrcatW9RI17ZiySCWdepAVpNFSVtA==" saltValue="EACmhQ1JfGfH8BejMGlPK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PRAT DE LLOBREGAT, EL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151</v>
      </c>
      <c r="C12" s="433">
        <f>IF(ISNUMBER(Datos!Q12),Datos!Q12," - ")</f>
        <v>89</v>
      </c>
      <c r="D12" s="407">
        <f>IF(ISNUMBER(Datos!R12),Datos!R12," - ")</f>
        <v>3659</v>
      </c>
    </row>
    <row r="13" spans="1:4" ht="14.25" thickTop="1" thickBot="1">
      <c r="A13" s="845" t="str">
        <f>Datos!A13</f>
        <v>TOTAL</v>
      </c>
      <c r="B13" s="846">
        <f>SUBTOTAL(9,B9:B12)</f>
        <v>151</v>
      </c>
      <c r="C13" s="850">
        <f>SUBTOTAL(9,C9:C12)</f>
        <v>89</v>
      </c>
      <c r="D13" s="848">
        <f>SUBTOTAL(9,D9:D12)</f>
        <v>3684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23</v>
      </c>
      <c r="C17" s="433">
        <f>IF(ISNUMBER(Datos!Q17),Datos!Q17," - ")</f>
        <v>123</v>
      </c>
      <c r="D17" s="407">
        <f>IF(ISNUMBER(Datos!R17),Datos!R17," - ")</f>
        <v>218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23</v>
      </c>
      <c r="C19" s="850">
        <f>SUBTOTAL(9,C15:C18)</f>
        <v>123</v>
      </c>
      <c r="D19" s="848">
        <f>SUBTOTAL(9,D15:D18)</f>
        <v>218</v>
      </c>
    </row>
    <row r="20" spans="1:4" ht="16.5" customHeight="1" thickTop="1" thickBot="1">
      <c r="A20" s="790" t="str">
        <f>Datos!A20</f>
        <v>TOTAL JURISDICCIONES</v>
      </c>
      <c r="B20" s="795">
        <f>SUBTOTAL(9,B8:B19)</f>
        <v>174</v>
      </c>
      <c r="C20" s="796">
        <f>SUBTOTAL(9,C8:C19)</f>
        <v>212</v>
      </c>
      <c r="D20" s="797">
        <f>SUBTOTAL(9,D8:D19)</f>
        <v>3902</v>
      </c>
    </row>
    <row r="21" spans="1:4" ht="7.5" customHeight="1"/>
    <row r="22" spans="1:4" ht="6" customHeight="1"/>
    <row r="23" spans="1:4">
      <c r="A23" s="390" t="str">
        <f>Criterios!A4</f>
        <v>Fecha Informe: 06 oct. 2026</v>
      </c>
    </row>
    <row r="28" spans="1:4">
      <c r="A28" s="413"/>
    </row>
  </sheetData>
  <sheetProtection algorithmName="SHA-512" hashValue="SDM9maR75oF0TabWVJVUCMYRUydNSou11rI0DMuZYdWaGDK8ZEPKfEo+bZwdyrXvjsHOyEajYeEuE72iDq5oHg==" saltValue="N+2epxblYbGgVAKHLM9Zr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PRAT DE LLOBREGAT, EL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-5.3571428571428568E-2</v>
      </c>
      <c r="C10" s="455">
        <f>IF(ISNUMBER((Datos!J10-Datos!T10)/Datos!T10),(Datos!J10-Datos!T10)/Datos!T10," - ")</f>
        <v>-0.875</v>
      </c>
      <c r="D10" s="455">
        <f>IF(ISNUMBER((Datos!K10-Datos!U10)/Datos!U10),(Datos!K10-Datos!U10)/Datos!U10," - ")</f>
        <v>-1</v>
      </c>
      <c r="E10" s="455">
        <f>IF(ISNUMBER((Datos!L10-Datos!V10)/Datos!V10),(Datos!L10-Datos!V10)/Datos!V10," - ")</f>
        <v>5.8823529411764705E-2</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-0.11509387954157523</v>
      </c>
      <c r="C12" s="455">
        <f>IF(ISNUMBER(
   IF(J_V="SI",(Datos!J12-Datos!T12)/Datos!T12,(Datos!J12+Datos!Z12-(Datos!T12+Datos!AH12))/(Datos!T12+Datos!AH12))
     ),IF(J_V="SI",(Datos!J12-Datos!T12)/Datos!T12,(Datos!J12+Datos!Z12-(Datos!T12+Datos!AH12))/(Datos!T12+Datos!AH12))," - ")</f>
        <v>0.5146276595744681</v>
      </c>
      <c r="D12" s="455">
        <f>IF(ISNUMBER(
   IF(J_V="SI",(Datos!K12-Datos!U12)/Datos!U12,(Datos!K12+Datos!AA12-(Datos!U12+Datos!AI12))/(Datos!U12+Datos!AI12))
     ),IF(J_V="SI",(Datos!K12-Datos!U12)/Datos!U12,(Datos!K12+Datos!AA12-(Datos!U12+Datos!AI12))/(Datos!U12+Datos!AI12))," - ")</f>
        <v>-0.48602068173113749</v>
      </c>
      <c r="E12" s="455">
        <f>IF(ISNUMBER(
   IF(J_V="SI",(Datos!L12-Datos!V12)/Datos!V12,(Datos!L12+Datos!AB12-(Datos!V12+Datos!AJ12))/(Datos!V12+Datos!AJ12))
     ),IF(J_V="SI",(Datos!L12-Datos!V12)/Datos!V12,(Datos!L12+Datos!AB12-(Datos!V12+Datos!AJ12))/(Datos!V12+Datos!AJ12))," - ")</f>
        <v>0.10114557138865606</v>
      </c>
      <c r="F12" s="455">
        <f>IF(ISNUMBER((Datos!M12-Datos!W12)/Datos!W12),(Datos!M12-Datos!W12)/Datos!W12," - ")</f>
        <v>-0.5304347826086957</v>
      </c>
      <c r="G12" s="456">
        <f>IF(ISNUMBER((Datos!N12-Datos!X12)/Datos!X12),(Datos!N12-Datos!X12)/Datos!X12," - ")</f>
        <v>-0.42460317460317459</v>
      </c>
      <c r="H12" s="454">
        <f>IF(ISNUMBER(((NºAsuntos!G12/NºAsuntos!E12)-Datos!BD12)/Datos!BD12),((NºAsuntos!G12/NºAsuntos!E12)-Datos!BD12)/Datos!BD12," - ")</f>
        <v>-0.66065632367147975</v>
      </c>
      <c r="I12" s="455">
        <f>IF(ISNUMBER(((NºAsuntos!I12/NºAsuntos!G12)-Datos!BE12)/Datos!BE12),((NºAsuntos!I12/NºAsuntos!G12)-Datos!BE12)/Datos!BE12," - ")</f>
        <v>1.1423927622174226</v>
      </c>
      <c r="J12" s="460">
        <f>IF(ISNUMBER((('Resol  Asuntos'!D12/NºAsuntos!G12)-Datos!BF12)/Datos!BF12),(('Resol  Asuntos'!D12/NºAsuntos!G12)-Datos!BF12)/Datos!BF12," - ")</f>
        <v>0.11177347242920996</v>
      </c>
      <c r="K12" s="461">
        <f>IF(ISNUMBER((((NºAsuntos!C12+NºAsuntos!E12)/NºAsuntos!G12)-Datos!BG12)/Datos!BG12),(((NºAsuntos!C12+NºAsuntos!E12)/NºAsuntos!G12)-Datos!BG12)/Datos!BG12," - ")</f>
        <v>0.85513660374653888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-0.11481511449146371</v>
      </c>
      <c r="C13" s="852">
        <f>IF(ISNUMBER(
   IF(J_V="SI",(Datos!J13-Datos!T13)/Datos!T13,(Datos!J13+Datos!Z13-(Datos!T13+Datos!AH13))/(Datos!T13+Datos!AH13))
     ),IF(J_V="SI",(Datos!J13-Datos!T13)/Datos!T13,(Datos!J13+Datos!Z13-(Datos!T13+Datos!AH13))/(Datos!T13+Datos!AH13))," - ")</f>
        <v>0.50727513227513232</v>
      </c>
      <c r="D13" s="852">
        <f>IF(ISNUMBER(
   IF(J_V="SI",(Datos!K13-Datos!U13)/Datos!U13,(Datos!K13+Datos!AA13-(Datos!U13+Datos!AI13))/(Datos!U13+Datos!AI13))
     ),IF(J_V="SI",(Datos!K13-Datos!U13)/Datos!U13,(Datos!K13+Datos!AA13-(Datos!U13+Datos!AI13))/(Datos!U13+Datos!AI13))," - ")</f>
        <v>-0.48856707317073172</v>
      </c>
      <c r="E13" s="852">
        <f>IF(ISNUMBER(
   IF(J_V="SI",(Datos!L13-Datos!V13)/Datos!V13,(Datos!L13+Datos!AB13-(Datos!V13+Datos!AJ13))/(Datos!V13+Datos!AJ13))
     ),IF(J_V="SI",(Datos!L13-Datos!V13)/Datos!V13,(Datos!L13+Datos!AB13-(Datos!V13+Datos!AJ13))/(Datos!V13+Datos!AJ13))," - ")</f>
        <v>0.10094549499443826</v>
      </c>
      <c r="F13" s="853">
        <f>IF(ISNUMBER((Datos!M13-Datos!W13)/Datos!W13),(Datos!M13-Datos!W13)/Datos!W13," - ")</f>
        <v>-0.5304347826086957</v>
      </c>
      <c r="G13" s="854">
        <f>IF(ISNUMBER((Datos!N13-Datos!X13)/Datos!X13),(Datos!N13-Datos!X13)/Datos!X13," - ")</f>
        <v>-0.4268774703557312</v>
      </c>
      <c r="H13" s="854">
        <f>IF(ISNUMBER(((NºAsuntos!G13/NºAsuntos!E13)-Datos!BD13)/Datos!BD13),((NºAsuntos!G13/NºAsuntos!E13)-Datos!BD13)/Datos!BD13," - ")</f>
        <v>-0.66069039694346043</v>
      </c>
      <c r="I13" s="854">
        <f>IF(ISNUMBER(((NºAsuntos!I13/NºAsuntos!G13)-Datos!BE13)/Datos!BE13),((NºAsuntos!I13/NºAsuntos!G13)-Datos!BE13)/Datos!BE13," - ")</f>
        <v>1.1526683896165471</v>
      </c>
      <c r="J13" s="854">
        <f>IF(ISNUMBER((('Resol  Asuntos'!D13/NºAsuntos!G13)-Datos!BF13)/Datos!BF13),(('Resol  Asuntos'!D13/NºAsuntos!G13)-Datos!BF13)/Datos!BF13," - ")</f>
        <v>0.11730892058760913</v>
      </c>
      <c r="K13" s="854">
        <f>IF(ISNUMBER((((NºAsuntos!C13+NºAsuntos!E13)/NºAsuntos!G13)-Datos!BG13)/Datos!BG13),(((NºAsuntos!C13+NºAsuntos!E13)/NºAsuntos!G13)-Datos!BG13)/Datos!BG13," - ")</f>
        <v>0.8633830716735138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-0.13976909850159666</v>
      </c>
      <c r="C17" s="455">
        <f>IF(ISNUMBER(
   IF(D_I="SI",(Datos!J17-Datos!T17)/Datos!T17,(Datos!J17+Datos!AD17-(Datos!T17+Datos!AL17))/(Datos!T17+Datos!AL17))
     ),IF(D_I="SI",(Datos!J17-Datos!T17)/Datos!T17,(Datos!J17+Datos!AD17-(Datos!T17+Datos!AL17))/(Datos!T17+Datos!AL17))," - ")</f>
        <v>-0.41706795077581593</v>
      </c>
      <c r="D17" s="455">
        <f>IF(ISNUMBER(
   IF(D_I="SI",(Datos!K17-Datos!U17)/Datos!U17,(Datos!K17+Datos!AE17-(Datos!U17+Datos!AM17))/(Datos!U17+Datos!AM17))
     ),IF(D_I="SI",(Datos!K17-Datos!U17)/Datos!U17,(Datos!K17+Datos!AE17-(Datos!U17+Datos!AM17))/(Datos!U17+Datos!AM17))," - ")</f>
        <v>-0.34192708333333333</v>
      </c>
      <c r="E17" s="455">
        <f>IF(ISNUMBER(
   IF(D_I="SI",(Datos!L17-Datos!V17)/Datos!V17,(Datos!L17+Datos!AF17-(Datos!V17+Datos!AN17))/(Datos!V17+Datos!AN17))
     ),IF(D_I="SI",(Datos!L17-Datos!V17)/Datos!V17,(Datos!L17+Datos!AF17-(Datos!V17+Datos!AN17))/(Datos!V17+Datos!AN17))," - ")</f>
        <v>-0.17277486910994763</v>
      </c>
      <c r="F17" s="455">
        <f>IF(ISNUMBER((Datos!M17-Datos!W17)/Datos!W17),(Datos!M17-Datos!W17)/Datos!W17," - ")</f>
        <v>-0.13840830449826991</v>
      </c>
      <c r="G17" s="456">
        <f>IF(ISNUMBER((Datos!N17-Datos!X17)/Datos!X17),(Datos!N17-Datos!X17)/Datos!X17," - ")</f>
        <v>-0.33544303797468356</v>
      </c>
      <c r="H17" s="454">
        <f>IF(ISNUMBER(((NºAsuntos!G17/NºAsuntos!E17)-Datos!BD17)/Datos!BD17),((NºAsuntos!G17/NºAsuntos!E17)-Datos!BD17)/Datos!BD17," - ")</f>
        <v>0.12890158903166593</v>
      </c>
      <c r="I17" s="455">
        <f>IF(ISNUMBER(((NºAsuntos!I17/NºAsuntos!G17)-Datos!BE17)/Datos!BE17),((NºAsuntos!I17/NºAsuntos!G17)-Datos!BE17)/Datos!BE17," - ")</f>
        <v>0.25704175014554864</v>
      </c>
      <c r="J17" s="460">
        <f>IF(ISNUMBER((('Resol  Asuntos'!D17/NºAsuntos!G17)-Datos!BF17)/Datos!BF17),(('Resol  Asuntos'!D17/NºAsuntos!G17)-Datos!BF17)/Datos!BF17," - ")</f>
        <v>0.30926478461679607</v>
      </c>
      <c r="K17" s="461">
        <f>IF(ISNUMBER((((NºAsuntos!C17+NºAsuntos!E17)/NºAsuntos!G17)-Datos!BG17)/Datos!BG17),(((NºAsuntos!C17+NºAsuntos!E17)/NºAsuntos!G17)-Datos!BG17)/Datos!BG17," - ")</f>
        <v>0.1054913503505208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0.89855072463768115</v>
      </c>
      <c r="C18" s="455">
        <f>IF(ISNUMBER(
   IF(D_I="SI",(Datos!J18-Datos!T18)/Datos!T18,(Datos!J18+Datos!AD18-(Datos!T18+Datos!AL18))/(Datos!T18+Datos!AL18))
     ),IF(D_I="SI",(Datos!J18-Datos!T18)/Datos!T18,(Datos!J18+Datos!AD18-(Datos!T18+Datos!AL18))/(Datos!T18+Datos!AL18))," - ")</f>
        <v>0.55932203389830504</v>
      </c>
      <c r="D18" s="455">
        <f>IF(ISNUMBER(
   IF(D_I="SI",(Datos!K18-Datos!U18)/Datos!U18,(Datos!K18+Datos!AE18-(Datos!U18+Datos!AM18))/(Datos!U18+Datos!AM18))
     ),IF(D_I="SI",(Datos!K18-Datos!U18)/Datos!U18,(Datos!K18+Datos!AE18-(Datos!U18+Datos!AM18))/(Datos!U18+Datos!AM18))," - ")</f>
        <v>0.31372549019607843</v>
      </c>
      <c r="E18" s="455">
        <f>IF(ISNUMBER(
   IF(D_I="SI",(Datos!L18-Datos!V18)/Datos!V18,(Datos!L18+Datos!AF18-(Datos!V18+Datos!AN18))/(Datos!V18+Datos!AN18))
     ),IF(D_I="SI",(Datos!L18-Datos!V18)/Datos!V18,(Datos!L18+Datos!AF18-(Datos!V18+Datos!AN18))/(Datos!V18+Datos!AN18))," - ")</f>
        <v>1</v>
      </c>
      <c r="F18" s="455">
        <f>IF(ISNUMBER((Datos!M18-Datos!W18)/Datos!W18),(Datos!M18-Datos!W18)/Datos!W18," - ")</f>
        <v>-0.6</v>
      </c>
      <c r="G18" s="456">
        <f>IF(ISNUMBER((Datos!N18-Datos!X18)/Datos!X18),(Datos!N18-Datos!X18)/Datos!X18," - ")</f>
        <v>1.6470588235294117</v>
      </c>
      <c r="H18" s="454">
        <f>IF(ISNUMBER(((NºAsuntos!G18/NºAsuntos!E18)-Datos!BD18)/Datos!BD18),((NºAsuntos!G18/NºAsuntos!E18)-Datos!BD18)/Datos!BD18," - ")</f>
        <v>-0.15750213128729754</v>
      </c>
      <c r="I18" s="455">
        <f>IF(ISNUMBER(((NºAsuntos!I18/NºAsuntos!G18)-Datos!BE18)/Datos!BE18),((NºAsuntos!I18/NºAsuntos!G18)-Datos!BE18)/Datos!BE18," - ")</f>
        <v>0.5223880597014926</v>
      </c>
      <c r="J18" s="460">
        <f>IF(ISNUMBER((('Resol  Asuntos'!D18/NºAsuntos!G18)-Datos!BF18)/Datos!BF18),(('Resol  Asuntos'!D18/NºAsuntos!G18)-Datos!BF18)/Datos!BF18," - ")</f>
        <v>-0.69552238805970146</v>
      </c>
      <c r="K18" s="461">
        <f>IF(ISNUMBER((((NºAsuntos!C18+NºAsuntos!E18)/NºAsuntos!G18)-Datos!BG18)/Datos!BG18),(((NºAsuntos!C18+NºAsuntos!E18)/NºAsuntos!G18)-Datos!BG18)/Datos!BG18," - ")</f>
        <v>0.32614272388059706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-0.12246376811594203</v>
      </c>
      <c r="C19" s="852">
        <f>IF(ISNUMBER(
   IF(Criterios!B14="SI",(Datos!J19-Datos!T19)/Datos!T19,(Datos!J19+Datos!AD19-(Datos!T19+Datos!AL19))/(Datos!T19+Datos!AL19))
     ),IF(Criterios!B14="SI",(Datos!J19-Datos!T19)/Datos!T19,(Datos!J19+Datos!AD19-(Datos!T19+Datos!AL19))/(Datos!T19+Datos!AL19))," - ")</f>
        <v>-0.40189623386884382</v>
      </c>
      <c r="D19" s="852">
        <f>IF(ISNUMBER(
   IF(Criterios!B14="SI",(Datos!K19-Datos!U19)/Datos!U19,(Datos!K19+Datos!AE19-(Datos!U19+Datos!AM19))/(Datos!U19+Datos!AM19))
     ),IF(Criterios!B14="SI",(Datos!K19-Datos!U19)/Datos!U19,(Datos!K19+Datos!AE19-(Datos!U19+Datos!AM19))/(Datos!U19+Datos!AM19))," - ")</f>
        <v>-0.33333333333333331</v>
      </c>
      <c r="E19" s="852">
        <f>IF(ISNUMBER(
   IF(Criterios!B14="SI",(Datos!L19-Datos!V19)/Datos!V19,(Datos!L19+Datos!AF19-(Datos!V19+Datos!AN19))/(Datos!V19+Datos!AN19))
     ),IF(Criterios!B14="SI",(Datos!L19-Datos!V19)/Datos!V19,(Datos!L19+Datos!AF19-(Datos!V19+Datos!AN19))/(Datos!V19+Datos!AN19))," - ")</f>
        <v>-0.14960225814729278</v>
      </c>
      <c r="F19" s="853">
        <f>IF(ISNUMBER((Datos!M19-Datos!W19)/Datos!W19),(Datos!M19-Datos!W19)/Datos!W19," - ")</f>
        <v>-0.14625850340136054</v>
      </c>
      <c r="G19" s="854">
        <f>IF(ISNUMBER((Datos!N19-Datos!X19)/Datos!X19),(Datos!N19-Datos!X19)/Datos!X19," - ")</f>
        <v>-0.32132383745286969</v>
      </c>
      <c r="H19" s="854">
        <f>IF(ISNUMBER(((NºAsuntos!G19/NºAsuntos!E19)-Datos!BD19)/Datos!BD19),((NºAsuntos!G19/NºAsuntos!E19)-Datos!BD19)/Datos!BD19," - ")</f>
        <v>0.11463378834580959</v>
      </c>
      <c r="I19" s="854">
        <f>IF(ISNUMBER(((NºAsuntos!I19/NºAsuntos!G19)-Datos!BE19)/Datos!BE19),((NºAsuntos!I19/NºAsuntos!G19)-Datos!BE19)/Datos!BE19," - ")</f>
        <v>0.27559661277906078</v>
      </c>
      <c r="J19" s="854">
        <f>IF(ISNUMBER((('Resol  Asuntos'!D19/NºAsuntos!G19)-Datos!BF19)/Datos!BF19),(('Resol  Asuntos'!D19/NºAsuntos!G19)-Datos!BF19)/Datos!BF19," - ")</f>
        <v>0.28061224489795927</v>
      </c>
      <c r="K19" s="854">
        <f>IF(ISNUMBER((((NºAsuntos!C19+NºAsuntos!E19)/NºAsuntos!G19)-Datos!BG19)/Datos!BG19),(((NºAsuntos!C19+NºAsuntos!E19)/NºAsuntos!G19)-Datos!BG19)/Datos!BG19," - ")</f>
        <v>0.11578682121708461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-0.11673434753621431</v>
      </c>
      <c r="C20" s="799">
        <f>IF(ISNUMBER(
   IF(J_V="SI",(Datos!J20-Datos!T20)/Datos!T20,(Datos!J20+Datos!Z20-(Datos!T20+Datos!AH20))/(Datos!T20+Datos!AH20))
     ),IF(J_V="SI",(Datos!J20-Datos!T20)/Datos!T20,(Datos!J20+Datos!Z20-(Datos!T20+Datos!AH20))/(Datos!T20+Datos!AH20))," - ")</f>
        <v>-0.1429647767941232</v>
      </c>
      <c r="D20" s="799">
        <f>IF(ISNUMBER(
   IF(J_V="SI",(Datos!K20-Datos!U20)/Datos!U20,(Datos!K20+Datos!AA20-(Datos!U20+Datos!AI20))/(Datos!U20+Datos!AI20))
     ),IF(J_V="SI",(Datos!K20-Datos!U20)/Datos!U20,(Datos!K20+Datos!AA20-(Datos!U20+Datos!AI20))/(Datos!U20+Datos!AI20))," - ")</f>
        <v>-0.39585571757482735</v>
      </c>
      <c r="E20" s="799">
        <f>IF(ISNUMBER(
   IF(J_V="SI",(Datos!L20-Datos!V20)/Datos!V20,(Datos!L20+Datos!AB20-(Datos!V20+Datos!AJ20))/(Datos!V20+Datos!AJ20))
     ),IF(J_V="SI",(Datos!L20-Datos!V20)/Datos!V20,(Datos!L20+Datos!AB20-(Datos!V20+Datos!AJ20))/(Datos!V20+Datos!AJ20))," - ")</f>
        <v>3.4456928838951309E-2</v>
      </c>
      <c r="F20" s="800">
        <f>IF(ISNUMBER((Datos!M20-Datos!W20)/Datos!W20),(Datos!M20-Datos!W20)/Datos!W20," - ")</f>
        <v>-0.43739703459637563</v>
      </c>
      <c r="G20" s="801">
        <f>IF(ISNUMBER((Datos!N20-Datos!X20)/Datos!X20),(Datos!N20-Datos!X20)/Datos!X20," - ")</f>
        <v>-0.34678957406230132</v>
      </c>
      <c r="H20" s="802">
        <f>IF(ISNUMBER((Tasas!B20-Datos!BD20)/Datos!BD20),(Tasas!B20-Datos!BD20)/Datos!BD20," - ")</f>
        <v>-0.29507648452851837</v>
      </c>
      <c r="I20" s="803">
        <f>IF(ISNUMBER((Tasas!C20-Datos!BE20)/Datos!BE20),(Tasas!C20-Datos!BE20)/Datos!BE20," - ")</f>
        <v>0.71226801102280668</v>
      </c>
      <c r="J20" s="804">
        <f>IF(ISNUMBER((Tasas!D20-Datos!BF20)/Datos!BF20),(Tasas!D20-Datos!BF20)/Datos!BF20," - ")</f>
        <v>7.6690137437088635E-2</v>
      </c>
      <c r="K20" s="804">
        <f>IF(ISNUMBER((Tasas!E20-Datos!BG20)/Datos!BG20),(Tasas!E20-Datos!BG20)/Datos!BG20," - ")</f>
        <v>0.45144143465290582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lulbDq84zGueNU3C0OLlTY8CrT0UUCg7dFzceb7q1RUm1d5Iw32Lsgi9Z6V+K/IA02+4zjD4ROP0WmkV7iKQg==" saltValue="tz82B6ZVd7RhUcHkdLrGa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PRAT DE LLOBREGAT, EL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0.58911325724319574</v>
      </c>
      <c r="C12" s="442">
        <f>IF(ISNUMBER(NºAsuntos!I12/NºAsuntos!G12),NºAsuntos!I12/NºAsuntos!G12," - ")</f>
        <v>8.8099850968703421</v>
      </c>
      <c r="D12" s="443">
        <f>IF(ISNUMBER('Resol  Asuntos'!D12/NºAsuntos!G12),'Resol  Asuntos'!D12/NºAsuntos!G12," - ")</f>
        <v>0.32190760059612517</v>
      </c>
      <c r="E12" s="444">
        <f>IF(ISNUMBER((NºAsuntos!C12+NºAsuntos!E12)/NºAsuntos!G12),(NºAsuntos!C12+NºAsuntos!E12)/NºAsuntos!G12," - ")</f>
        <v>9.8099850968703421</v>
      </c>
      <c r="G12" s="462"/>
    </row>
    <row r="13" spans="1:7" ht="14.25" thickTop="1" thickBot="1">
      <c r="A13" s="845" t="str">
        <f>Datos!A13</f>
        <v>TOTAL</v>
      </c>
      <c r="B13" s="855">
        <f>IF(ISNUMBER(NºAsuntos!G13/NºAsuntos!E13),NºAsuntos!G13/NºAsuntos!E13," - ")</f>
        <v>0.58885476086002631</v>
      </c>
      <c r="C13" s="856">
        <f>IF(ISNUMBER(NºAsuntos!I13/NºAsuntos!G13),NºAsuntos!I13/NºAsuntos!G13," - ")</f>
        <v>8.8502235469448589</v>
      </c>
      <c r="D13" s="857">
        <f>IF(ISNUMBER('Resol  Asuntos'!D13/NºAsuntos!G13),'Resol  Asuntos'!D13/NºAsuntos!G13," - ")</f>
        <v>0.32190760059612517</v>
      </c>
      <c r="E13" s="858">
        <f>IF(ISNUMBER((NºAsuntos!C13+NºAsuntos!E13)/NºAsuntos!G13),(NºAsuntos!C13+NºAsuntos!E13)/NºAsuntos!G13," - ")</f>
        <v>9.8502235469448589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1.1597062872877466</v>
      </c>
      <c r="C17" s="442">
        <f>IF(ISNUMBER(NºAsuntos!I17/NºAsuntos!G17),NºAsuntos!I17/NºAsuntos!G17," - ")</f>
        <v>1.2504946576968738</v>
      </c>
      <c r="D17" s="443">
        <f>IF(ISNUMBER('Resol  Asuntos'!D17/NºAsuntos!G17),'Resol  Asuntos'!D17/NºAsuntos!G17," - ")</f>
        <v>9.8535813217253659E-2</v>
      </c>
      <c r="E17" s="444">
        <f>IF(ISNUMBER((NºAsuntos!C17+NºAsuntos!E17)/NºAsuntos!G17),(NºAsuntos!C17+NºAsuntos!E17)/NºAsuntos!G17," - ")</f>
        <v>2.2481203007518795</v>
      </c>
      <c r="G17" s="462"/>
    </row>
    <row r="18" spans="1:7" ht="21.75" thickBot="1">
      <c r="A18" s="401" t="str">
        <f>Datos!A18</f>
        <v>Sección De Violencia sobre la Mujer del TI</v>
      </c>
      <c r="B18" s="441">
        <f>IF(ISNUMBER(NºAsuntos!G18/NºAsuntos!E18),NºAsuntos!G18/NºAsuntos!E18," - ")</f>
        <v>0.72826086956521741</v>
      </c>
      <c r="C18" s="442">
        <f>IF(ISNUMBER(NºAsuntos!I18/NºAsuntos!G18),NºAsuntos!I18/NºAsuntos!G18," - ")</f>
        <v>2.2985074626865671</v>
      </c>
      <c r="D18" s="443">
        <f>IF(ISNUMBER('Resol  Asuntos'!D18/NºAsuntos!G18),'Resol  Asuntos'!D18/NºAsuntos!G18," - ")</f>
        <v>2.9850746268656716E-2</v>
      </c>
      <c r="E18" s="444">
        <f>IF(ISNUMBER((NºAsuntos!C18+NºAsuntos!E18)/NºAsuntos!G18),(NºAsuntos!C18+NºAsuntos!E18)/NºAsuntos!G18," - ")</f>
        <v>3.3283582089552239</v>
      </c>
      <c r="G18" s="462"/>
    </row>
    <row r="19" spans="1:7" ht="14.25" thickTop="1" thickBot="1">
      <c r="A19" s="845" t="str">
        <f>Datos!A19</f>
        <v>TOTAL</v>
      </c>
      <c r="B19" s="855">
        <f>IF(ISNUMBER(NºAsuntos!G19/NºAsuntos!E19),NºAsuntos!G19/NºAsuntos!E19," - ")</f>
        <v>1.1422280933509468</v>
      </c>
      <c r="C19" s="856">
        <f>IF(ISNUMBER(NºAsuntos!I19/NºAsuntos!G19),NºAsuntos!I19/NºAsuntos!G19," - ")</f>
        <v>1.2775636083269082</v>
      </c>
      <c r="D19" s="859">
        <f>IF(ISNUMBER('Resol  Asuntos'!D19/NºAsuntos!G19),'Resol  Asuntos'!D19/NºAsuntos!G19," - ")</f>
        <v>9.6761757902852741E-2</v>
      </c>
      <c r="E19" s="858">
        <f>IF(ISNUMBER((NºAsuntos!C19+NºAsuntos!E19)/NºAsuntos!G19),(NºAsuntos!C19+NºAsuntos!E19)/NºAsuntos!G19," - ")</f>
        <v>2.2760215882806478</v>
      </c>
      <c r="G19" s="462"/>
    </row>
    <row r="20" spans="1:7" ht="15.75" customHeight="1" thickTop="1" thickBot="1">
      <c r="A20" s="790" t="str">
        <f>Datos!A20</f>
        <v>TOTAL JURISDICCIONES</v>
      </c>
      <c r="B20" s="805">
        <f>IF(ISNUMBER(NºAsuntos!G20/NºAsuntos!E20),NºAsuntos!G20/NºAsuntos!E20," - ")</f>
        <v>0.86505494505494507</v>
      </c>
      <c r="C20" s="806">
        <f>IF(ISNUMBER(NºAsuntos!I20/NºAsuntos!G20),NºAsuntos!I20/NºAsuntos!G20," - ")</f>
        <v>3.8595020325203251</v>
      </c>
      <c r="D20" s="807">
        <f>IF(ISNUMBER('Resol  Asuntos'!D20/NºAsuntos!G20),'Resol  Asuntos'!D20/NºAsuntos!G20," - ")</f>
        <v>0.17352642276422764</v>
      </c>
      <c r="E20" s="808">
        <f>IF(ISNUMBER((NºAsuntos!C20+NºAsuntos!E20)/NºAsuntos!G20),(NºAsuntos!C20+NºAsuntos!E20)/NºAsuntos!G20," - ")</f>
        <v>4.8584857723577235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V3Va6OJuiNLHq1HkpIz0k3z9HMiOkSmG+lSjsgag/2kg5lGnz6d+ddiR5xfVGTDn9Qqjvao2wL/q6rq9edmOg==" saltValue="Qymn+rSP+GcTLblzaw5u/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PRAT DE LLOBREGAT, EL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53</v>
      </c>
      <c r="G10" s="332">
        <f>IF(ISNUMBER(Datos!I10),Datos!I10," - ")</f>
        <v>53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54</v>
      </c>
      <c r="AB10" s="333">
        <f>IF(ISNUMBER(Datos!R10),Datos!R10," - ")</f>
        <v>25</v>
      </c>
      <c r="AC10" s="333">
        <f t="shared" ref="AC10:AC12" si="1">IF(ISNUMBER(AA10+AB10),AA10+AB10," - ")</f>
        <v>79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89</v>
      </c>
      <c r="Y12" s="333">
        <f t="shared" si="0"/>
        <v>89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3659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432</v>
      </c>
      <c r="AJ12" s="228" t="str">
        <f>IF(ISNUMBER(Datos!BW12),Datos!BW12," - ")</f>
        <v xml:space="preserve"> - </v>
      </c>
      <c r="AK12" s="227" t="str">
        <f>IF(ISNUMBER(Datos!BX12),Datos!BX12," - ")</f>
        <v xml:space="preserve"> - </v>
      </c>
      <c r="AL12" s="242">
        <f>IF(ISNUMBER(NºAsuntos!G12/NºAsuntos!E12),NºAsuntos!G12/NºAsuntos!E12," - ")</f>
        <v>0.58911325724319574</v>
      </c>
      <c r="AM12" s="259">
        <f>IF(ISNUMBER(((NºAsuntos!I12/NºAsuntos!G12)*11)/factor_trimestre),((NºAsuntos!I12/NºAsuntos!G12)*11)/factor_trimestre," - ")</f>
        <v>26.429955290611026</v>
      </c>
      <c r="AN12" s="243">
        <f>IF(ISNUMBER('Resol  Asuntos'!D12/NºAsuntos!G12),'Resol  Asuntos'!D12/NºAsuntos!G12," - ")</f>
        <v>0.32190760059612517</v>
      </c>
      <c r="AO12" s="244">
        <f>IF(ISNUMBER((NºAsuntos!C12+NºAsuntos!E12)/NºAsuntos!G12),(NºAsuntos!C12+NºAsuntos!E12)/NºAsuntos!G12," - ")</f>
        <v>9.8099850968703421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53</v>
      </c>
      <c r="G13" s="863">
        <f t="shared" si="3"/>
        <v>53</v>
      </c>
      <c r="H13" s="862">
        <f t="shared" si="3"/>
        <v>0</v>
      </c>
      <c r="I13" s="864">
        <f t="shared" si="3"/>
        <v>0</v>
      </c>
      <c r="J13" s="864">
        <f t="shared" si="3"/>
        <v>0</v>
      </c>
      <c r="K13" s="864">
        <f t="shared" si="3"/>
        <v>0</v>
      </c>
      <c r="L13" s="864">
        <f t="shared" si="3"/>
        <v>151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89</v>
      </c>
      <c r="Y13" s="865">
        <f t="shared" si="4"/>
        <v>89</v>
      </c>
      <c r="Z13" s="865">
        <f t="shared" si="4"/>
        <v>0</v>
      </c>
      <c r="AA13" s="865">
        <f t="shared" si="4"/>
        <v>54</v>
      </c>
      <c r="AB13" s="865">
        <f t="shared" si="4"/>
        <v>3684</v>
      </c>
      <c r="AC13" s="865">
        <f t="shared" si="4"/>
        <v>79</v>
      </c>
      <c r="AD13" s="865">
        <f t="shared" si="4"/>
        <v>0</v>
      </c>
      <c r="AE13" s="869">
        <f t="shared" si="4"/>
        <v>0</v>
      </c>
      <c r="AF13" s="862">
        <f t="shared" si="4"/>
        <v>0</v>
      </c>
      <c r="AG13" s="870">
        <f t="shared" si="4"/>
        <v>0</v>
      </c>
      <c r="AH13" s="867">
        <f t="shared" si="4"/>
        <v>0</v>
      </c>
      <c r="AI13" s="862">
        <f t="shared" si="4"/>
        <v>432</v>
      </c>
      <c r="AJ13" s="864">
        <f t="shared" si="4"/>
        <v>0</v>
      </c>
      <c r="AK13" s="867">
        <f>SUBTOTAL(9,AK9:AK12)</f>
        <v>0</v>
      </c>
      <c r="AL13" s="871">
        <f>IF(ISNUMBER(NºAsuntos!G13/NºAsuntos!E13),NºAsuntos!G13/NºAsuntos!E13," - ")</f>
        <v>0.58885476086002631</v>
      </c>
      <c r="AM13" s="871">
        <f>IF(ISNUMBER(((NºAsuntos!I13/NºAsuntos!G13)*11)/factor_trimestre),((NºAsuntos!I13/NºAsuntos!G13)*11)/factor_trimestre," - ")</f>
        <v>26.550670640834579</v>
      </c>
      <c r="AN13" s="872">
        <f>IF(ISNUMBER('Resol  Asuntos'!D13/NºAsuntos!G13),'Resol  Asuntos'!D13/NºAsuntos!G13," - ")</f>
        <v>0.32190760059612517</v>
      </c>
      <c r="AO13" s="873">
        <f>IF(ISNUMBER((NºAsuntos!C13+NºAsuntos!E13)/NºAsuntos!G13),(NºAsuntos!C13+NºAsuntos!E13)/NºAsuntos!G13," - ")</f>
        <v>9.8502235469448589</v>
      </c>
      <c r="AP13" s="874" t="str">
        <f t="shared" si="2"/>
        <v xml:space="preserve"> - </v>
      </c>
      <c r="AQ13" s="874">
        <f>IF(ISNUMBER((H13-W13+K13)/(F13)),(H13-W13+K13)/(F13)," - ")</f>
        <v>0</v>
      </c>
      <c r="AR13" s="875">
        <f>IF(ISNUMBER((Datos!P13-Datos!Q13)/(Datos!R13-Datos!P13+Datos!Q13)),(Datos!P13-Datos!Q13)/(Datos!R13-Datos!P13+Datos!Q13)," - ")</f>
        <v>1.7117614577581448E-2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3508</v>
      </c>
      <c r="G17" s="332">
        <f>IF(ISNUMBER(IF(D_I="SI",Datos!I17,Datos!I17+Datos!AC17)),IF(D_I="SI",Datos!I17,Datos!I17+Datos!AC17)," - ")</f>
        <v>3502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2527</v>
      </c>
      <c r="X17" s="225">
        <f>IF(ISNUMBER(Datos!Q17),Datos!Q17," - ")</f>
        <v>123</v>
      </c>
      <c r="Y17" s="333">
        <f t="shared" ref="Y17:Y18" si="9">SUM(W17:X17)</f>
        <v>2650</v>
      </c>
      <c r="Z17" s="334" t="str">
        <f>IF(ISNUMBER(Datos!CC17),Datos!CC17," - ")</f>
        <v xml:space="preserve"> - </v>
      </c>
      <c r="AA17" s="331">
        <f>IF(ISNUMBER(IF(D_I="SI",Datos!L17,Datos!L17+Datos!AF17)),IF(D_I="SI",Datos!L17,Datos!L17+Datos!AF17)," - ")</f>
        <v>3160</v>
      </c>
      <c r="AB17" s="333">
        <f>IF(ISNUMBER(Datos!R17),Datos!R17," - ")</f>
        <v>218</v>
      </c>
      <c r="AC17" s="333">
        <f t="shared" si="6"/>
        <v>3378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249</v>
      </c>
      <c r="AJ17" s="230" t="str">
        <f>IF(ISNUMBER(Datos!BW17),Datos!BW17," - ")</f>
        <v xml:space="preserve"> - </v>
      </c>
      <c r="AK17" s="231" t="str">
        <f>IF(ISNUMBER(Datos!BX17),Datos!BX17," - ")</f>
        <v xml:space="preserve"> - </v>
      </c>
      <c r="AL17" s="242">
        <f>IF(ISNUMBER(NºAsuntos!G17/NºAsuntos!E17),NºAsuntos!G17/NºAsuntos!E17," - ")</f>
        <v>1.1597062872877466</v>
      </c>
      <c r="AM17" s="259">
        <f>IF(ISNUMBER(((NºAsuntos!I17/NºAsuntos!G17)*11)/factor_trimestre),((NºAsuntos!I17/NºAsuntos!G17)*11)/factor_trimestre," - ")</f>
        <v>3.7514839730906218</v>
      </c>
      <c r="AN17" s="243">
        <f>IF(ISNUMBER('Resol  Asuntos'!D17/NºAsuntos!G17),'Resol  Asuntos'!D17/NºAsuntos!G17," - ")</f>
        <v>9.8535813217253659E-2</v>
      </c>
      <c r="AO17" s="244">
        <f>IF(ISNUMBER((NºAsuntos!C17+NºAsuntos!E17)/NºAsuntos!G17),(NºAsuntos!C17+NºAsuntos!E17)/NºAsuntos!G17," - ")</f>
        <v>2.2481203007518795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67</v>
      </c>
      <c r="X18" s="225">
        <f>IF(ISNUMBER(Datos!Q18),Datos!Q18," - ")</f>
        <v>0</v>
      </c>
      <c r="Y18" s="333">
        <f t="shared" si="9"/>
        <v>67</v>
      </c>
      <c r="Z18" s="334" t="str">
        <f>IF(ISNUMBER(Datos!CC18),Datos!CC18," - ")</f>
        <v xml:space="preserve"> - </v>
      </c>
      <c r="AA18" s="331">
        <f>IF(ISNUMBER(Datos!L18),Datos!L18,"-")</f>
        <v>154</v>
      </c>
      <c r="AB18" s="333">
        <f>IF(ISNUMBER(Datos!R18),Datos!R18," - ")</f>
        <v>0</v>
      </c>
      <c r="AC18" s="333">
        <f t="shared" si="6"/>
        <v>154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0.72826086956521741</v>
      </c>
      <c r="AM18" s="259">
        <f>IF(ISNUMBER(((NºAsuntos!I18/NºAsuntos!G18)*11)/factor_trimestre),((NºAsuntos!I18/NºAsuntos!G18)*11)/factor_trimestre," - ")</f>
        <v>6.8955223880597023</v>
      </c>
      <c r="AN18" s="243">
        <f>IF(ISNUMBER('Resol  Asuntos'!D18/NºAsuntos!G18),'Resol  Asuntos'!D18/NºAsuntos!G18," - ")</f>
        <v>2.9850746268656716E-2</v>
      </c>
      <c r="AO18" s="244">
        <f>IF(ISNUMBER((NºAsuntos!C18+NºAsuntos!E18)/NºAsuntos!G18),(NºAsuntos!C18+NºAsuntos!E18)/NºAsuntos!G18," - ")</f>
        <v>3.3283582089552239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3508</v>
      </c>
      <c r="G19" s="863">
        <f>SUBTOTAL(9,G15:G18)</f>
        <v>3633</v>
      </c>
      <c r="H19" s="862">
        <f t="shared" ref="H19:O19" si="12">SUBTOTAL(9,H14:H18)</f>
        <v>0</v>
      </c>
      <c r="I19" s="864">
        <f t="shared" si="12"/>
        <v>0</v>
      </c>
      <c r="J19" s="864">
        <f t="shared" si="12"/>
        <v>0</v>
      </c>
      <c r="K19" s="864">
        <f t="shared" si="12"/>
        <v>0</v>
      </c>
      <c r="L19" s="864">
        <f t="shared" si="12"/>
        <v>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2594</v>
      </c>
      <c r="X19" s="864">
        <f t="shared" si="13"/>
        <v>123</v>
      </c>
      <c r="Y19" s="865">
        <f t="shared" si="13"/>
        <v>2717</v>
      </c>
      <c r="Z19" s="865">
        <f t="shared" si="13"/>
        <v>0</v>
      </c>
      <c r="AA19" s="865">
        <f t="shared" si="13"/>
        <v>3314</v>
      </c>
      <c r="AB19" s="865">
        <f t="shared" si="13"/>
        <v>218</v>
      </c>
      <c r="AC19" s="865">
        <f t="shared" si="13"/>
        <v>3532</v>
      </c>
      <c r="AD19" s="865">
        <f t="shared" si="13"/>
        <v>0</v>
      </c>
      <c r="AE19" s="869">
        <f t="shared" si="13"/>
        <v>0</v>
      </c>
      <c r="AF19" s="862">
        <f t="shared" si="13"/>
        <v>0</v>
      </c>
      <c r="AG19" s="870">
        <f t="shared" si="13"/>
        <v>0</v>
      </c>
      <c r="AH19" s="867">
        <f t="shared" si="13"/>
        <v>0</v>
      </c>
      <c r="AI19" s="862">
        <f t="shared" si="13"/>
        <v>251</v>
      </c>
      <c r="AJ19" s="864">
        <f t="shared" si="13"/>
        <v>0</v>
      </c>
      <c r="AK19" s="867">
        <f t="shared" si="13"/>
        <v>0</v>
      </c>
      <c r="AL19" s="871">
        <f>IF(ISNUMBER(NºAsuntos!G19/NºAsuntos!E19),NºAsuntos!G19/NºAsuntos!E19," - ")</f>
        <v>1.1422280933509468</v>
      </c>
      <c r="AM19" s="871">
        <f>IF(ISNUMBER(((NºAsuntos!I19/NºAsuntos!G19)*11)/factor_trimestre),((NºAsuntos!I19/NºAsuntos!G19)*11)/factor_trimestre," - ")</f>
        <v>3.832690824980725</v>
      </c>
      <c r="AN19" s="872">
        <f>IF(ISNUMBER('Resol  Asuntos'!D19/NºAsuntos!G19),'Resol  Asuntos'!D19/NºAsuntos!G19," - ")</f>
        <v>9.6761757902852741E-2</v>
      </c>
      <c r="AO19" s="873">
        <f>IF(ISNUMBER((NºAsuntos!C19+NºAsuntos!E19)/NºAsuntos!G19),(NºAsuntos!C19+NºAsuntos!E19)/NºAsuntos!G19," - ")</f>
        <v>2.2760215882806478</v>
      </c>
      <c r="AP19" s="874" t="str">
        <f t="shared" si="2"/>
        <v xml:space="preserve"> - </v>
      </c>
      <c r="AQ19" s="874">
        <f>IF(ISNUMBER((H19-W19+K19)/(F19)),(H19-W19+K19)/(F19)," - ")</f>
        <v>-0.73945267958950966</v>
      </c>
      <c r="AR19" s="875">
        <f>IF(ISNUMBER((Datos!P19-Datos!Q19)/(Datos!R19-Datos!P19+Datos!Q19)),(Datos!P19-Datos!Q19)/(Datos!R19-Datos!P19+Datos!Q19)," - ")</f>
        <v>-0.31446540880503143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3561</v>
      </c>
      <c r="G20" s="818">
        <f t="shared" si="15"/>
        <v>3686</v>
      </c>
      <c r="H20" s="817">
        <f t="shared" si="15"/>
        <v>0</v>
      </c>
      <c r="I20" s="819">
        <f t="shared" si="15"/>
        <v>0</v>
      </c>
      <c r="J20" s="819">
        <f t="shared" si="15"/>
        <v>0</v>
      </c>
      <c r="K20" s="878">
        <f t="shared" si="15"/>
        <v>0</v>
      </c>
      <c r="L20" s="819">
        <f t="shared" si="15"/>
        <v>174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2594</v>
      </c>
      <c r="X20" s="818">
        <f t="shared" si="16"/>
        <v>212</v>
      </c>
      <c r="Y20" s="825">
        <f t="shared" si="16"/>
        <v>2806</v>
      </c>
      <c r="Z20" s="825">
        <f t="shared" si="16"/>
        <v>0</v>
      </c>
      <c r="AA20" s="825">
        <f t="shared" si="16"/>
        <v>3368</v>
      </c>
      <c r="AB20" s="825">
        <f t="shared" si="16"/>
        <v>3902</v>
      </c>
      <c r="AC20" s="825">
        <f t="shared" si="16"/>
        <v>3611</v>
      </c>
      <c r="AD20" s="825">
        <f t="shared" si="16"/>
        <v>0</v>
      </c>
      <c r="AE20" s="827">
        <f t="shared" si="16"/>
        <v>0</v>
      </c>
      <c r="AF20" s="828">
        <f t="shared" si="16"/>
        <v>0</v>
      </c>
      <c r="AG20" s="829">
        <f t="shared" si="16"/>
        <v>0</v>
      </c>
      <c r="AH20" s="827">
        <f t="shared" si="16"/>
        <v>0</v>
      </c>
      <c r="AI20" s="817">
        <f t="shared" si="16"/>
        <v>683</v>
      </c>
      <c r="AJ20" s="817">
        <f t="shared" si="16"/>
        <v>0</v>
      </c>
      <c r="AK20" s="827">
        <f t="shared" si="16"/>
        <v>0</v>
      </c>
      <c r="AL20" s="881">
        <f>IF(ISNUMBER(NºAsuntos!G20/NºAsuntos!E20),NºAsuntos!G20/NºAsuntos!E20," - ")</f>
        <v>0.86505494505494507</v>
      </c>
      <c r="AM20" s="882">
        <f>IF(ISNUMBER(((NºAsuntos!I20/NºAsuntos!G20)*11)/factor_trimestre),((NºAsuntos!I20/NºAsuntos!G20)*11)/factor_trimestre," - ")</f>
        <v>11.578506097560975</v>
      </c>
      <c r="AN20" s="882">
        <f>IF(ISNUMBER('Resol  Asuntos'!D20/NºAsuntos!G20),'Resol  Asuntos'!D20/NºAsuntos!G20," - ")</f>
        <v>0.17352642276422764</v>
      </c>
      <c r="AO20" s="883">
        <f>IF(ISNUMBER((NºAsuntos!C20+NºAsuntos!E20)/NºAsuntos!G20),(NºAsuntos!C20+NºAsuntos!E20)/NºAsuntos!G20," - ")</f>
        <v>4.8584857723577235</v>
      </c>
      <c r="AP20" s="884" t="str">
        <f t="shared" si="2"/>
        <v xml:space="preserve"> - </v>
      </c>
      <c r="AQ20" s="885">
        <f>IF(OR(ISNUMBER(FIND("01",Criterios!A8,1)),ISNUMBER(FIND("02",Criterios!A8,1)),ISNUMBER(FIND("03",Criterios!A8,1)),ISNUMBER(FIND("04",Criterios!A8,1))),(I20-W20+K20)/(F20-K20),(H20-W20+K20)/(F20-K20))</f>
        <v>-0.72844706543105864</v>
      </c>
      <c r="AR20" s="886">
        <f>IF(ISNUMBER((Datos!P20-Datos!Q20)/(Datos!R20-Datos!P20+Datos!Q20)),(Datos!P20-Datos!Q20)/(Datos!R20-Datos!P20+Datos!Q20)," - ")</f>
        <v>-9.6446700507614221E-3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1474.4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1994.7451800501572</v>
      </c>
      <c r="G22" s="252">
        <f>IF(ISNUMBER(STDEV(G8:G19)),STDEV(G8:G19),"-")</f>
        <v>1911.5566431576124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1390.6819550134387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193.52588112876961</v>
      </c>
      <c r="AJ22" s="251">
        <f t="shared" si="20"/>
        <v>0</v>
      </c>
      <c r="AK22" s="253">
        <f t="shared" si="20"/>
        <v>0</v>
      </c>
      <c r="AL22" s="248">
        <f t="shared" si="20"/>
        <v>0.42949557885510337</v>
      </c>
      <c r="AM22" s="249">
        <f t="shared" si="20"/>
        <v>11.93328317229466</v>
      </c>
      <c r="AN22" s="249">
        <f t="shared" si="20"/>
        <v>0.13801512475975355</v>
      </c>
      <c r="AO22" s="250">
        <f t="shared" si="20"/>
        <v>3.9744550125596136</v>
      </c>
      <c r="AP22" s="290" t="str">
        <f t="shared" si="20"/>
        <v>-</v>
      </c>
      <c r="AQ22" s="291">
        <f t="shared" si="20"/>
        <v>0.52287200410430568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MdQSRc261VgOms/6QjMspS4G3IMFoXJSRJu2wdU5L271Jef+I64uTHeMdXiSulTNpZMcgiOKrgCqBTsDbAJjA==" saltValue="2UJKm0CYXRh/Vu/fJLloZ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PRAT DE LLOBREGAT, EL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-5.3571428571428568E-2</v>
      </c>
      <c r="E10" s="347">
        <f>IF(ISNUMBER((Datos!J10-Datos!T10)/Datos!T10),(Datos!J10-Datos!T10)/Datos!T10," - ")</f>
        <v>-0.875</v>
      </c>
      <c r="F10" s="347">
        <f>IF(ISNUMBER((Datos!K10-Datos!U10)/Datos!U10),(Datos!K10-Datos!U10)/Datos!U10," - ")</f>
        <v>-1</v>
      </c>
      <c r="G10" s="348">
        <f>IF(ISNUMBER((Datos!L10-Datos!V10)/Datos!V10),(Datos!L10-Datos!V10)/Datos!V10," - ")</f>
        <v>5.8823529411764705E-2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-0.5304347826086957</v>
      </c>
      <c r="I12" s="349">
        <f>IF(ISNUMBER((Tasas!C12-Datos!BE12)/Datos!BE12),(Tasas!C12-Datos!BE12)/Datos!BE12," - ")</f>
        <v>1.1423927622174226</v>
      </c>
      <c r="J12" s="348">
        <f>IF(ISNUMBER((Tasas!D12-Datos!BF12)/Datos!BF12),(Tasas!D12-Datos!BF12)/Datos!BF12," - ")</f>
        <v>0.11177347242920996</v>
      </c>
      <c r="K12" s="350">
        <f>IF(ISNUMBER((Tasas!E12-Datos!BG12)/Datos!BG12),(Tasas!E12-Datos!BG12)/Datos!BG12," - ")</f>
        <v>0.85513660374653888</v>
      </c>
      <c r="M12" t="e">
        <f>IF(Monitorios="SI",Datos!CE12,0)</f>
        <v>#REF!</v>
      </c>
      <c r="N12" t="e">
        <f>IF(Monitorios="SI",Datos!CF12,0)</f>
        <v>#REF!</v>
      </c>
      <c r="O12" t="e">
        <f>IF(Monitorios="SI",Datos!CG12,0)</f>
        <v>#REF!</v>
      </c>
      <c r="P12" t="e">
        <f>IF(Monitorios="SI",Datos!CH12,0)</f>
        <v>#REF!</v>
      </c>
      <c r="Q12">
        <f>IF(J_V="SI",0,Datos!AG12)</f>
        <v>67</v>
      </c>
      <c r="R12">
        <f>IF(J_V="SI",0,Datos!AH12)</f>
        <v>61</v>
      </c>
      <c r="S12">
        <f>IF(J_V="SI",0,Datos!AI12)</f>
        <v>32</v>
      </c>
      <c r="T12">
        <f>IF(J_V="SI",0,Datos!AJ12)</f>
        <v>96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-0.5304347826086957</v>
      </c>
      <c r="I13" s="356">
        <f>IF(ISNUMBER((Tasas!C13-Datos!BE13)/Datos!BE13),(Tasas!C13-Datos!BE13)/Datos!BE13," - ")</f>
        <v>1.1526683896165471</v>
      </c>
      <c r="J13" s="354">
        <f>IF(ISNUMBER((Tasas!D13-Datos!BF13)/Datos!BF13),(Tasas!D13-Datos!BF13)/Datos!BF13," - ")</f>
        <v>0.11730892058760913</v>
      </c>
      <c r="K13" s="357">
        <f>IF(ISNUMBER((Tasas!E13-Datos!BG13)/Datos!BG13),(Tasas!E13-Datos!BG13)/Datos!BG13," - ")</f>
        <v>0.8633830716735138</v>
      </c>
      <c r="M13" t="e">
        <f>IF(Monitorios="SI",Datos!CE13,0)</f>
        <v>#REF!</v>
      </c>
      <c r="N13" t="e">
        <f>IF(Monitorios="SI",Datos!CF13,0)</f>
        <v>#REF!</v>
      </c>
      <c r="O13" t="e">
        <f>IF(Monitorios="SI",Datos!CG13,0)</f>
        <v>#REF!</v>
      </c>
      <c r="P13" t="e">
        <f>IF(Monitorios="SI",Datos!CH13,0)</f>
        <v>#REF!</v>
      </c>
      <c r="Q13">
        <f>IF(J_V="SI",0,Datos!AG13)</f>
        <v>67</v>
      </c>
      <c r="R13">
        <f>IF(J_V="SI",0,Datos!AH13)</f>
        <v>61</v>
      </c>
      <c r="S13">
        <f>IF(J_V="SI",0,Datos!AI13)</f>
        <v>32</v>
      </c>
      <c r="T13">
        <f>IF(J_V="SI",0,Datos!AJ13)</f>
        <v>96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-0.13976909850159666</v>
      </c>
      <c r="E17" s="347">
        <f>IF(ISNUMBER(
   IF(D_I="SI",(Datos!J17-Datos!T17)/Datos!T17,(Datos!J17+Datos!AD17-(Datos!T17+Datos!AL17))/(Datos!T17+Datos!AL17))
     ),IF(D_I="SI",(Datos!J17-Datos!T17)/Datos!T17,(Datos!J17+Datos!AD17-(Datos!T17+Datos!AL17))/(Datos!T17+Datos!AL17))," - ")</f>
        <v>-0.41706795077581593</v>
      </c>
      <c r="F17" s="347">
        <f>IF(ISNUMBER(
   IF(D_I="SI",(Datos!K17-Datos!U17)/Datos!U17,(Datos!K17+Datos!AE17-(Datos!U17+Datos!AM17))/(Datos!U17+Datos!AM17))
     ),IF(D_I="SI",(Datos!K17-Datos!U17)/Datos!U17,(Datos!K17+Datos!AE17-(Datos!U17+Datos!AM17))/(Datos!U17+Datos!AM17))," - ")</f>
        <v>-0.34192708333333333</v>
      </c>
      <c r="G17" s="348">
        <f>IF(ISNUMBER(
   IF(D_I="SI",(Datos!L17-Datos!V17)/Datos!V17,(Datos!L17+Datos!AF17-(Datos!V17+Datos!AN17))/(Datos!V17+Datos!AN17))
     ),IF(D_I="SI",(Datos!L17-Datos!V17)/Datos!V17,(Datos!L17+Datos!AF17-(Datos!V17+Datos!AN17))/(Datos!V17+Datos!AN17))," - ")</f>
        <v>-0.17277486910994763</v>
      </c>
      <c r="H17" s="229">
        <f>IF(ISNUMBER((Datos!M17-Datos!W17)/Datos!W17),(Datos!M17-Datos!W17)/Datos!W17," - ")</f>
        <v>-0.13840830449826991</v>
      </c>
      <c r="I17" s="349">
        <f>IF(ISNUMBER((Tasas!C17-Datos!BE17)/Datos!BE17),(Tasas!C17-Datos!BE17)/Datos!BE17," - ")</f>
        <v>0.25704175014554864</v>
      </c>
      <c r="J17" s="348">
        <f>IF(ISNUMBER((Tasas!D17-Datos!BF17)/Datos!BF17),(Tasas!D17-Datos!BF17)/Datos!BF17," - ")</f>
        <v>0.30926478461679607</v>
      </c>
      <c r="K17" s="350">
        <f>IF(ISNUMBER((Tasas!E17-Datos!BG17)/Datos!BG17),(Tasas!E17-Datos!BG17)/Datos!BG17," - ")</f>
        <v>0.1054913503505208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0.89855072463768115</v>
      </c>
      <c r="E18" s="347">
        <f>IF(ISNUMBER(
   IF(D_I="SI",(Datos!J18-Datos!T18)/Datos!T18,(Datos!J18+Datos!AD18-(Datos!T18+Datos!AL18))/(Datos!T18+Datos!AL18))
     ),IF(D_I="SI",(Datos!J18-Datos!T18)/Datos!T18,(Datos!J18+Datos!AD18-(Datos!T18+Datos!AL18))/(Datos!T18+Datos!AL18))," - ")</f>
        <v>0.55932203389830504</v>
      </c>
      <c r="F18" s="347">
        <f>IF(ISNUMBER(
   IF(D_I="SI",(Datos!K18-Datos!U18)/Datos!U18,(Datos!K18+Datos!AE18-(Datos!U18+Datos!AM18))/(Datos!U18+Datos!AM18))
     ),IF(D_I="SI",(Datos!K18-Datos!U18)/Datos!U18,(Datos!K18+Datos!AE18-(Datos!U18+Datos!AM18))/(Datos!U18+Datos!AM18))," - ")</f>
        <v>0.31372549019607843</v>
      </c>
      <c r="G18" s="348">
        <f>IF(ISNUMBER(
   IF(D_I="SI",(Datos!L18-Datos!V18)/Datos!V18,(Datos!L18+Datos!AF18-(Datos!V18+Datos!AN18))/(Datos!V18+Datos!AN18))
     ),IF(D_I="SI",(Datos!L18-Datos!V18)/Datos!V18,(Datos!L18+Datos!AF18-(Datos!V18+Datos!AN18))/(Datos!V18+Datos!AN18))," - ")</f>
        <v>1</v>
      </c>
      <c r="H18" s="229">
        <f>IF(ISNUMBER((Datos!M18-Datos!W18)/Datos!W18),(Datos!M18-Datos!W18)/Datos!W18," - ")</f>
        <v>-0.6</v>
      </c>
      <c r="I18" s="349">
        <f>IF(ISNUMBER((Tasas!C18-Datos!BE18)/Datos!BE18),(Tasas!C18-Datos!BE18)/Datos!BE18," - ")</f>
        <v>0.5223880597014926</v>
      </c>
      <c r="J18" s="348">
        <f>IF(ISNUMBER((Tasas!D18-Datos!BF18)/Datos!BF18),(Tasas!D18-Datos!BF18)/Datos!BF18," - ")</f>
        <v>-0.69552238805970146</v>
      </c>
      <c r="K18" s="350">
        <f>IF(ISNUMBER((Tasas!E18-Datos!BG18)/Datos!BG18),(Tasas!E18-Datos!BG18)/Datos!BG18," - ")</f>
        <v>0.32614272388059706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-0.12246376811594203</v>
      </c>
      <c r="E19" s="353">
        <f>IF(ISNUMBER(
   IF(D_I="SI",(Datos!J19-Datos!T19)/Datos!T19,(Datos!J19+Datos!AD19-(Datos!T19+Datos!AL19))/(Datos!T19+Datos!AL19))
     ),IF(D_I="SI",(Datos!J19-Datos!T19)/Datos!T19,(Datos!J19+Datos!AD19-(Datos!T19+Datos!AL19))/(Datos!T19+Datos!AL19))," - ")</f>
        <v>-0.40189623386884382</v>
      </c>
      <c r="F19" s="353">
        <f>IF(ISNUMBER(
   IF(D_I="SI",(Datos!K19-Datos!U19)/Datos!U19,(Datos!K19+Datos!AE19-(Datos!U19+Datos!AM19))/(Datos!U19+Datos!AM19))
     ),IF(D_I="SI",(Datos!K19-Datos!U19)/Datos!U19,(Datos!K19+Datos!AE19-(Datos!U19+Datos!AM19))/(Datos!U19+Datos!AM19))," - ")</f>
        <v>-0.33333333333333331</v>
      </c>
      <c r="G19" s="354">
        <f>IF(ISNUMBER(
   IF(D_I="SI",(Datos!L19-Datos!V19)/Datos!V19,(Datos!L19+Datos!AF19-(Datos!V19+Datos!AN19))/(Datos!V19+Datos!AN19))
     ),IF(D_I="SI",(Datos!L19-Datos!V19)/Datos!V19,(Datos!L19+Datos!AF19-(Datos!V19+Datos!AN19))/(Datos!V19+Datos!AN19))," - ")</f>
        <v>-0.14960225814729278</v>
      </c>
      <c r="H19" s="355">
        <f>IF(ISNUMBER((Datos!M19-Datos!W19)/Datos!W19),(Datos!M19-Datos!W19)/Datos!W19," - ")</f>
        <v>-0.14625850340136054</v>
      </c>
      <c r="I19" s="356">
        <f>IF(ISNUMBER((Tasas!C19-Datos!BE19)/Datos!BE19),(Tasas!C19-Datos!BE19)/Datos!BE19," - ")</f>
        <v>0.27559661277906078</v>
      </c>
      <c r="J19" s="354">
        <f>IF(ISNUMBER((Tasas!D19-Datos!BF19)/Datos!BF19),(Tasas!D19-Datos!BF19)/Datos!BF19," - ")</f>
        <v>0.28061224489795927</v>
      </c>
      <c r="K19" s="357">
        <f>IF(ISNUMBER((Tasas!E19-Datos!BG19)/Datos!BG19),(Tasas!E19-Datos!BG19)/Datos!BG19," - ")</f>
        <v>0.11578682121708461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-0.11673434753621431</v>
      </c>
      <c r="E20" s="362">
        <f>IF(ISNUMBER(
   IF(J_V="SI",(Datos!J20-Datos!T20)/Datos!T20,(Datos!J20+Datos!Z20-(Datos!T20+Datos!AH20))/(Datos!T20+Datos!AH20))
     ),IF(J_V="SI",(Datos!J20-Datos!T20)/Datos!T20,(Datos!J20+Datos!Z20-(Datos!T20+Datos!AH20))/(Datos!T20+Datos!AH20))," - ")</f>
        <v>-0.1429647767941232</v>
      </c>
      <c r="F20" s="362">
        <f>IF(ISNUMBER(
   IF(J_V="SI",(Datos!K20-Datos!U20)/Datos!U20,(Datos!K20+Datos!AA20-(Datos!U20+Datos!AI20))/(Datos!U20+Datos!AI20))
     ),IF(J_V="SI",(Datos!K20-Datos!U20)/Datos!U20,(Datos!K20+Datos!AA20-(Datos!U20+Datos!AI20))/(Datos!U20+Datos!AI20))," - ")</f>
        <v>-0.39585571757482735</v>
      </c>
      <c r="G20" s="363">
        <f>IF(ISNUMBER(
   IF(J_V="SI",(Datos!L20-Datos!V20)/Datos!V20,(Datos!L20+Datos!AB20-(Datos!V20+Datos!AJ20))/(Datos!V20+Datos!AJ20))
     ),IF(J_V="SI",(Datos!L20-Datos!V20)/Datos!V20,(Datos!L20+Datos!AB20-(Datos!V20+Datos!AJ20))/(Datos!V20+Datos!AJ20))," - ")</f>
        <v>3.4456928838951309E-2</v>
      </c>
      <c r="H20" s="364">
        <f>IF(ISNUMBER((Datos!M20-Datos!W20)/Datos!W20),(Datos!M20-Datos!W20)/Datos!W20," - ")</f>
        <v>-0.43739703459637563</v>
      </c>
      <c r="I20" s="361">
        <f>IF(ISNUMBER((Tasas!C20-Datos!BE20)/Datos!BE20),(Tasas!C20-Datos!BE20)/Datos!BE20," - ")</f>
        <v>0.71226801102280668</v>
      </c>
      <c r="J20" s="362">
        <f>IF(ISNUMBER((Tasas!D20-Datos!BF20)/Datos!BF20),(Tasas!D20-Datos!BF20)/Datos!BF20," - ")</f>
        <v>7.6690137437088635E-2</v>
      </c>
      <c r="K20" s="363">
        <f>IF(ISNUMBER((Tasas!E20-Datos!BG20)/Datos!BG20),(Tasas!E20-Datos!BG20)/Datos!BG20," - ")</f>
        <v>0.45144143465290582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0.50328842885048986</v>
      </c>
      <c r="E22" s="277">
        <f t="shared" si="1"/>
        <v>0.60334600172810104</v>
      </c>
      <c r="F22" s="277">
        <f t="shared" si="1"/>
        <v>0.53634708464665659</v>
      </c>
      <c r="G22" s="278">
        <f t="shared" si="1"/>
        <v>0.55380618536319481</v>
      </c>
      <c r="H22" s="284">
        <f t="shared" si="1"/>
        <v>0.22707276914531879</v>
      </c>
      <c r="I22" s="276">
        <f t="shared" si="1"/>
        <v>0.44833066131190258</v>
      </c>
      <c r="J22" s="277">
        <f t="shared" si="1"/>
        <v>0.41271863387042712</v>
      </c>
      <c r="K22" s="278">
        <f t="shared" si="1"/>
        <v>0.38101695982094924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Ypjc5jUlt6Y9RBFSNEYSPkKyF9B4CU9Jet5ppts5rfeArXhzxY6XAvzCdOmxNg3EGDqdvc4OpAMrYImBesbsg==" saltValue="WxSsrgLNONKbe/eXPJlYQ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53</v>
      </c>
      <c r="D10" s="224">
        <f>IF(ISNUMBER(Datos!I10),Datos!I10," - ")</f>
        <v>53</v>
      </c>
      <c r="E10" s="225">
        <f>IF(ISNUMBER(Datos!J10),Datos!J10," - ")</f>
        <v>1</v>
      </c>
      <c r="F10" s="225">
        <f>IF(ISNUMBER(Datos!K10),Datos!K10," - ")</f>
        <v>0</v>
      </c>
      <c r="G10" s="1029" t="str">
        <f>IF(Datos!E10&lt;&gt;"",Datos!E10,Datos!D10)</f>
        <v>37</v>
      </c>
      <c r="H10" s="226">
        <f>IF(ISNUMBER(Datos!L10),Datos!L10," - ")</f>
        <v>54</v>
      </c>
      <c r="I10" s="1039" t="str">
        <f>IF(ISNUMBER(Datos!AS10/Datos!BM10),Datos!AS10/Datos!BM10," - ")</f>
        <v xml:space="preserve"> - </v>
      </c>
      <c r="J10" s="1040">
        <f>IF(ISNUMBER(Datos!BY10/Datos!CN10),Datos!BY10/Datos!CN10," - ")</f>
        <v>0</v>
      </c>
      <c r="K10" s="229">
        <f t="shared" ref="K10:K12" si="1">IF(ISNUMBER((E10-F10)/C10),(E10-F10)/C10," - ")</f>
        <v>1.8867924528301886E-2</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96.909836065573757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53</v>
      </c>
      <c r="D13" s="1044">
        <f>SUBTOTAL(9,D9:D12)</f>
        <v>53</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3508</v>
      </c>
      <c r="D17" s="224">
        <f>IF(ISNUMBER(IF(D_I="SI",Datos!I17,Datos!I17+Datos!AC17)),IF(D_I="SI",Datos!I17,Datos!I17+Datos!AC17)," - ")</f>
        <v>3502</v>
      </c>
      <c r="E17" s="225">
        <f>IF(ISNUMBER(IF(D_I="SI",Datos!J17,Datos!J17+Datos!AD17)),IF(D_I="SI",Datos!J17,Datos!J17+Datos!AD17)," - ")</f>
        <v>2179</v>
      </c>
      <c r="F17" s="225">
        <f>IF(ISNUMBER(IF(D_I="SI",Datos!K17,Datos!K17+Datos!AE17)),IF(D_I="SI",Datos!K17,Datos!K17+Datos!AE17)," - ")</f>
        <v>2527</v>
      </c>
      <c r="G17" s="1029" t="str">
        <f>IF(Datos!E17&lt;&gt;"",Datos!E17,Datos!D17)</f>
        <v>04</v>
      </c>
      <c r="H17" s="226">
        <f>IF(ISNUMBER(IF(D_I="SI",Datos!L17,Datos!L17+Datos!AF17)),IF(D_I="SI",Datos!L17,Datos!L17+Datos!AF17)," - ")</f>
        <v>3160</v>
      </c>
      <c r="I17" s="1039" t="str">
        <f>IF(ISNUMBER(Datos!AS17/Datos!BM17),Datos!AS17/Datos!BM17," - ")</f>
        <v xml:space="preserve"> - </v>
      </c>
      <c r="J17" s="1040">
        <f>IF(ISNUMBER(Datos!BY17/Datos!CN17),Datos!BY17/Datos!CN17," - ")</f>
        <v>0</v>
      </c>
      <c r="K17" s="229">
        <f t="shared" si="3"/>
        <v>-9.9201824401368308E-2</v>
      </c>
      <c r="L17" s="1020">
        <f>IF(ISNUMBER(NºAsuntos!I17/NºAsuntos!G17),(NºAsuntos!I17/NºAsuntos!G17)*11," - ")</f>
        <v>13.755441234665613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129</v>
      </c>
      <c r="D18" s="224">
        <f>IF(ISNUMBER(IF(D_I="SI",Datos!I18,Datos!I18+Datos!AC18)),IF(D_I="SI",Datos!I18,Datos!I18+Datos!AC18)," - ")</f>
        <v>131</v>
      </c>
      <c r="E18" s="225">
        <f>IF(ISNUMBER(IF(D_I="SI",Datos!J18,Datos!J18+Datos!AD18)),IF(D_I="SI",Datos!J18,Datos!J18+Datos!AD18)," - ")</f>
        <v>92</v>
      </c>
      <c r="F18" s="225">
        <f>IF(ISNUMBER(IF(D_I="SI",Datos!K18,Datos!K18+Datos!AE18)),IF(D_I="SI",Datos!K18,Datos!K18+Datos!AE18)," - ")</f>
        <v>67</v>
      </c>
      <c r="G18" s="1029" t="str">
        <f>IF(Datos!E18&lt;&gt;"",Datos!E18,Datos!D18)</f>
        <v>37</v>
      </c>
      <c r="H18" s="226">
        <f>IF(ISNUMBER(IF(D_I="SI",Datos!L18,Datos!L18+Datos!AF18)),IF(D_I="SI",Datos!L18,Datos!L18+Datos!AF18)," - ")</f>
        <v>154</v>
      </c>
      <c r="I18" s="1039" t="str">
        <f>IF(ISNUMBER(Datos!AS18/Datos!BM18),Datos!AS18/Datos!BM18," - ")</f>
        <v xml:space="preserve"> - </v>
      </c>
      <c r="J18" s="1040" t="str">
        <f>IF(ISNUMBER((Datos!BY18+Datos!BZ18)/Datos!CN18),(Datos!BY18+Datos!BZ18)/Datos!CN18," - ")</f>
        <v xml:space="preserve"> - </v>
      </c>
      <c r="K18" s="229">
        <f t="shared" si="3"/>
        <v>0.19379844961240311</v>
      </c>
      <c r="L18" s="1020">
        <f>IF(ISNUMBER(NºAsuntos!I18/NºAsuntos!G18),(NºAsuntos!I18/NºAsuntos!G18)*11," - ")</f>
        <v>25.28358208955224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3637</v>
      </c>
      <c r="D19" s="1044">
        <f>SUBTOTAL(9,D15:D18)</f>
        <v>3633</v>
      </c>
      <c r="E19" s="1045">
        <f>SUBTOTAL(9,E15:E18)</f>
        <v>2271</v>
      </c>
      <c r="F19" s="1045">
        <f>SUBTOTAL(9,F15:F18)</f>
        <v>2594</v>
      </c>
      <c r="G19" s="1047" t="str">
        <f ca="1">INDIRECT(CONCATENATE("G",ROW()-1))</f>
        <v>37</v>
      </c>
      <c r="H19" s="1048">
        <f ca="1">SUMIF(G$14:G18,G19,H$14:H18)</f>
        <v>154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3690</v>
      </c>
      <c r="D20" s="1066">
        <f>SUBTOTAL(9,D9:D19)</f>
        <v>3686</v>
      </c>
      <c r="E20" s="1067">
        <f>SUBTOTAL(9,E9:E19)</f>
        <v>2272</v>
      </c>
      <c r="F20" s="1067">
        <f>SUBTOTAL(9,F9:F19)</f>
        <v>2594</v>
      </c>
      <c r="G20" s="1068"/>
      <c r="H20" s="1069">
        <f ca="1">SUMIF(B9:B19,"TOTAL",H9:H19)</f>
        <v>154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oDpE9HmHhCI8nNbaDQHFb69K29sXgcEWjPs/xpeWrdrXviX6xKDHdEPyxIRBDbsEVgNtEu6tx3gRcaDFVRqeA==" saltValue="Wlo+yj2yzACb0AW+2GPnv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FzV7MARzI6Udad750oBwdln1PmpQ19ADbTKM1O+C+YtM81Xge70dVnEHp2Q9n/zUZ6Kgd/YKYl35X5zxp/xTA==" saltValue="hqGQLr5QFDQHnhfYbI9/B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53</v>
      </c>
      <c r="J10" s="180">
        <v>1</v>
      </c>
      <c r="K10" s="180">
        <v>0</v>
      </c>
      <c r="L10" s="180">
        <v>54</v>
      </c>
      <c r="M10" s="180">
        <v>0</v>
      </c>
      <c r="N10" s="180">
        <v>0</v>
      </c>
      <c r="O10" s="180">
        <v>0</v>
      </c>
      <c r="P10" s="180">
        <v>0</v>
      </c>
      <c r="Q10" s="180">
        <v>0</v>
      </c>
      <c r="R10" s="180">
        <v>25</v>
      </c>
      <c r="S10" s="180">
        <v>56</v>
      </c>
      <c r="T10" s="180">
        <v>8</v>
      </c>
      <c r="U10" s="180">
        <v>13</v>
      </c>
      <c r="V10" s="180">
        <v>51</v>
      </c>
      <c r="W10" s="180">
        <v>0</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56</v>
      </c>
      <c r="AZ10" s="129">
        <f t="shared" si="0"/>
        <v>8</v>
      </c>
      <c r="BA10" s="129">
        <f t="shared" si="0"/>
        <v>13</v>
      </c>
      <c r="BB10" s="129">
        <f t="shared" si="0"/>
        <v>51</v>
      </c>
      <c r="BC10" s="125">
        <f t="shared" si="0"/>
        <v>0</v>
      </c>
      <c r="BD10" s="126">
        <f>IF(ISNUMBER(BA10/AZ10),BA10/AZ10," - ")</f>
        <v>1.625</v>
      </c>
      <c r="BE10" s="127">
        <f>IF(ISNUMBER(BB10/BA10),BB10/BA10, " - ")</f>
        <v>3.9230769230769229</v>
      </c>
      <c r="BF10" s="127">
        <f>IF(ISNUMBER(BC10/BA10),BC10/BA10, " - ")</f>
        <v>0</v>
      </c>
      <c r="BG10" s="195">
        <f>IF(ISNUMBER((AY10+AZ10)/BA10),(AY10+AZ10)/BA10," - ")</f>
        <v>4.9230769230769234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10766</v>
      </c>
      <c r="J12" s="182">
        <v>2211</v>
      </c>
      <c r="K12" s="182">
        <v>1290</v>
      </c>
      <c r="L12" s="182">
        <v>11687</v>
      </c>
      <c r="M12" s="182">
        <v>432</v>
      </c>
      <c r="N12" s="182">
        <v>435</v>
      </c>
      <c r="O12" s="180">
        <v>498</v>
      </c>
      <c r="P12" s="182">
        <v>151</v>
      </c>
      <c r="Q12" s="182">
        <v>89</v>
      </c>
      <c r="R12" s="182">
        <v>3659</v>
      </c>
      <c r="S12" s="182">
        <v>12236</v>
      </c>
      <c r="T12" s="182">
        <v>1443</v>
      </c>
      <c r="U12" s="182">
        <v>2579</v>
      </c>
      <c r="V12" s="182">
        <v>10641</v>
      </c>
      <c r="W12" s="182">
        <v>920</v>
      </c>
      <c r="X12" s="188">
        <v>756</v>
      </c>
      <c r="Y12" s="190">
        <v>121</v>
      </c>
      <c r="Z12" s="180">
        <v>67</v>
      </c>
      <c r="AA12" s="180">
        <v>52</v>
      </c>
      <c r="AB12" s="180">
        <v>136</v>
      </c>
      <c r="AC12" s="182">
        <v>0</v>
      </c>
      <c r="AD12" s="182">
        <v>0</v>
      </c>
      <c r="AE12" s="182">
        <v>0</v>
      </c>
      <c r="AF12" s="188">
        <v>0</v>
      </c>
      <c r="AG12" s="201">
        <v>67</v>
      </c>
      <c r="AH12" s="182">
        <v>61</v>
      </c>
      <c r="AI12" s="182">
        <v>32</v>
      </c>
      <c r="AJ12" s="202">
        <v>96</v>
      </c>
      <c r="AK12" s="181">
        <v>0</v>
      </c>
      <c r="AL12" s="182">
        <v>0</v>
      </c>
      <c r="AM12" s="182">
        <v>0</v>
      </c>
      <c r="AN12" s="188">
        <v>0</v>
      </c>
      <c r="AO12" s="258">
        <v>5</v>
      </c>
      <c r="AP12" s="154">
        <v>5</v>
      </c>
      <c r="AQ12" s="154">
        <v>5</v>
      </c>
      <c r="AR12" s="153">
        <v>5</v>
      </c>
      <c r="AS12" s="339" t="s">
        <v>766</v>
      </c>
      <c r="AT12" s="202"/>
      <c r="AU12" s="201"/>
      <c r="AV12" s="202"/>
      <c r="AW12" s="201"/>
      <c r="AX12" s="202"/>
      <c r="AY12" s="126">
        <f t="shared" si="1"/>
        <v>12303</v>
      </c>
      <c r="AZ12" s="127">
        <f t="shared" si="1"/>
        <v>1504</v>
      </c>
      <c r="BA12" s="127">
        <f t="shared" si="1"/>
        <v>2611</v>
      </c>
      <c r="BB12" s="127">
        <f t="shared" si="1"/>
        <v>10737</v>
      </c>
      <c r="BC12" s="125">
        <f>IF(ISNUMBER(X12),X12," - ")</f>
        <v>756</v>
      </c>
      <c r="BD12" s="126">
        <f t="shared" si="2"/>
        <v>1.7360372340425532</v>
      </c>
      <c r="BE12" s="127">
        <f t="shared" si="3"/>
        <v>4.1122175411719644</v>
      </c>
      <c r="BF12" s="127">
        <f t="shared" si="4"/>
        <v>0.289544235924933</v>
      </c>
      <c r="BG12" s="195">
        <f t="shared" si="5"/>
        <v>5.2880122558406741</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10819</v>
      </c>
      <c r="J13" s="183">
        <f t="shared" si="6"/>
        <v>2212</v>
      </c>
      <c r="K13" s="183">
        <f t="shared" si="6"/>
        <v>1290</v>
      </c>
      <c r="L13" s="183">
        <f t="shared" si="6"/>
        <v>11741</v>
      </c>
      <c r="M13" s="183">
        <f t="shared" si="6"/>
        <v>432</v>
      </c>
      <c r="N13" s="183">
        <f t="shared" si="6"/>
        <v>435</v>
      </c>
      <c r="O13" s="183">
        <f t="shared" si="6"/>
        <v>498</v>
      </c>
      <c r="P13" s="183">
        <f t="shared" si="6"/>
        <v>151</v>
      </c>
      <c r="Q13" s="183">
        <f t="shared" si="6"/>
        <v>89</v>
      </c>
      <c r="R13" s="183">
        <f t="shared" si="6"/>
        <v>3684</v>
      </c>
      <c r="S13" s="183">
        <f t="shared" si="6"/>
        <v>12292</v>
      </c>
      <c r="T13" s="183">
        <f t="shared" si="6"/>
        <v>1451</v>
      </c>
      <c r="U13" s="183">
        <f t="shared" si="6"/>
        <v>2592</v>
      </c>
      <c r="V13" s="183">
        <f t="shared" si="6"/>
        <v>10692</v>
      </c>
      <c r="W13" s="183">
        <f t="shared" si="6"/>
        <v>920</v>
      </c>
      <c r="X13" s="183">
        <f t="shared" si="6"/>
        <v>759</v>
      </c>
      <c r="Y13" s="183">
        <f t="shared" si="6"/>
        <v>121</v>
      </c>
      <c r="Z13" s="183">
        <f t="shared" si="6"/>
        <v>67</v>
      </c>
      <c r="AA13" s="183">
        <f t="shared" si="6"/>
        <v>52</v>
      </c>
      <c r="AB13" s="183">
        <f t="shared" si="6"/>
        <v>136</v>
      </c>
      <c r="AC13" s="183">
        <f t="shared" si="6"/>
        <v>0</v>
      </c>
      <c r="AD13" s="183">
        <f t="shared" si="6"/>
        <v>0</v>
      </c>
      <c r="AE13" s="183">
        <f t="shared" si="6"/>
        <v>0</v>
      </c>
      <c r="AF13" s="183">
        <f>SUBTOTAL(9,AF9:AF12)</f>
        <v>0</v>
      </c>
      <c r="AG13" s="183">
        <f t="shared" ref="AG13:AT13" si="7">SUBTOTAL(9,AG8:AG12)</f>
        <v>67</v>
      </c>
      <c r="AH13" s="183">
        <f t="shared" si="7"/>
        <v>61</v>
      </c>
      <c r="AI13" s="183">
        <f t="shared" si="7"/>
        <v>32</v>
      </c>
      <c r="AJ13" s="183">
        <f t="shared" si="7"/>
        <v>96</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12359</v>
      </c>
      <c r="AZ13" s="183">
        <f>SUBTOTAL(9,AZ8:AZ12)</f>
        <v>1512</v>
      </c>
      <c r="BA13" s="183">
        <f>SUBTOTAL(9,BA8:BA12)</f>
        <v>2624</v>
      </c>
      <c r="BB13" s="183">
        <f>SUBTOTAL(9,BB8:BB12)</f>
        <v>10788</v>
      </c>
      <c r="BC13" s="183">
        <f>SUBTOTAL(9,BC8:BC12)</f>
        <v>756</v>
      </c>
      <c r="BD13" s="204">
        <f>IF(ISNUMBER(BA13/AZ13),BA13/AZ13," - ")</f>
        <v>1.7354497354497354</v>
      </c>
      <c r="BE13" s="205">
        <f>IF(ISNUMBER(BB13/BA13),BB13/BA13, " - ")</f>
        <v>4.1112804878048781</v>
      </c>
      <c r="BF13" s="205">
        <f>IF(ISNUMBER(BC13/BA13),BC13/BA13, " - ")</f>
        <v>0.28810975609756095</v>
      </c>
      <c r="BG13" s="206">
        <f>IF(ISNUMBER((AY13+AZ13)/BA13),(AY13+AZ13)/BA13," - ")</f>
        <v>5.2862042682926829</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3502</v>
      </c>
      <c r="J17" s="182">
        <v>2179</v>
      </c>
      <c r="K17" s="182">
        <v>2527</v>
      </c>
      <c r="L17" s="182">
        <v>3160</v>
      </c>
      <c r="M17" s="182">
        <v>249</v>
      </c>
      <c r="N17" s="182">
        <v>1575</v>
      </c>
      <c r="O17" s="180">
        <v>0</v>
      </c>
      <c r="P17" s="182">
        <v>23</v>
      </c>
      <c r="Q17" s="182">
        <v>123</v>
      </c>
      <c r="R17" s="182">
        <v>218</v>
      </c>
      <c r="S17" s="182">
        <v>4071</v>
      </c>
      <c r="T17" s="182">
        <v>3738</v>
      </c>
      <c r="U17" s="182">
        <v>3840</v>
      </c>
      <c r="V17" s="182">
        <v>3820</v>
      </c>
      <c r="W17" s="182">
        <v>289</v>
      </c>
      <c r="X17" s="188">
        <v>2370</v>
      </c>
      <c r="Y17" s="201">
        <v>0</v>
      </c>
      <c r="Z17" s="182">
        <v>0</v>
      </c>
      <c r="AA17" s="182">
        <v>0</v>
      </c>
      <c r="AB17" s="182">
        <v>0</v>
      </c>
      <c r="AC17" s="182">
        <v>7</v>
      </c>
      <c r="AD17" s="182">
        <v>3</v>
      </c>
      <c r="AE17" s="182">
        <v>2</v>
      </c>
      <c r="AF17" s="188">
        <v>8</v>
      </c>
      <c r="AG17" s="201">
        <v>0</v>
      </c>
      <c r="AH17" s="182">
        <v>0</v>
      </c>
      <c r="AI17" s="182">
        <v>0</v>
      </c>
      <c r="AJ17" s="202">
        <v>0</v>
      </c>
      <c r="AK17" s="181">
        <v>34</v>
      </c>
      <c r="AL17" s="182">
        <v>7</v>
      </c>
      <c r="AM17" s="182">
        <v>41</v>
      </c>
      <c r="AN17" s="188">
        <v>0</v>
      </c>
      <c r="AO17" s="258">
        <v>5</v>
      </c>
      <c r="AP17" s="154">
        <v>5</v>
      </c>
      <c r="AQ17" s="154">
        <v>5</v>
      </c>
      <c r="AR17" s="154">
        <v>5</v>
      </c>
      <c r="AS17" s="339" t="s">
        <v>486</v>
      </c>
      <c r="AT17" s="202"/>
      <c r="AU17" s="201"/>
      <c r="AV17" s="202"/>
      <c r="AW17" s="201"/>
      <c r="AX17" s="202"/>
      <c r="AY17" s="126">
        <f t="shared" si="9"/>
        <v>4071</v>
      </c>
      <c r="AZ17" s="127">
        <f t="shared" si="9"/>
        <v>3738</v>
      </c>
      <c r="BA17" s="127">
        <f t="shared" si="9"/>
        <v>3840</v>
      </c>
      <c r="BB17" s="127">
        <f t="shared" si="9"/>
        <v>3820</v>
      </c>
      <c r="BC17" s="125">
        <f>IF(ISNUMBER(W17),W17," - ")</f>
        <v>289</v>
      </c>
      <c r="BD17" s="126">
        <f t="shared" ref="BD17" si="16">IF(ISNUMBER(BA17/AZ17),BA17/AZ17," - ")</f>
        <v>1.0272873194221508</v>
      </c>
      <c r="BE17" s="127">
        <f t="shared" ref="BE17" si="17">IF(ISNUMBER(BB17/BA17),BB17/BA17, " - ")</f>
        <v>0.99479166666666663</v>
      </c>
      <c r="BF17" s="127">
        <f t="shared" ref="BF17" si="18">IF(ISNUMBER(BC17/BA17),BC17/BA17, " - ")</f>
        <v>7.5260416666666663E-2</v>
      </c>
      <c r="BG17" s="195">
        <f t="shared" si="10"/>
        <v>2.0335937500000001</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131</v>
      </c>
      <c r="J18" s="182">
        <v>92</v>
      </c>
      <c r="K18" s="182">
        <v>67</v>
      </c>
      <c r="L18" s="182">
        <v>154</v>
      </c>
      <c r="M18" s="182">
        <v>2</v>
      </c>
      <c r="N18" s="182">
        <v>45</v>
      </c>
      <c r="O18" s="182">
        <v>0</v>
      </c>
      <c r="P18" s="182">
        <v>0</v>
      </c>
      <c r="Q18" s="182">
        <v>0</v>
      </c>
      <c r="R18" s="182">
        <v>0</v>
      </c>
      <c r="S18" s="182">
        <v>69</v>
      </c>
      <c r="T18" s="182">
        <v>59</v>
      </c>
      <c r="U18" s="182">
        <v>51</v>
      </c>
      <c r="V18" s="182">
        <v>77</v>
      </c>
      <c r="W18" s="182">
        <v>5</v>
      </c>
      <c r="X18" s="188">
        <v>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69</v>
      </c>
      <c r="AZ18" s="129">
        <f t="shared" si="19"/>
        <v>59</v>
      </c>
      <c r="BA18" s="129">
        <f t="shared" si="19"/>
        <v>51</v>
      </c>
      <c r="BB18" s="129">
        <f t="shared" si="19"/>
        <v>77</v>
      </c>
      <c r="BC18" s="125">
        <f>IF(ISNUMBER(W18),W18," - ")</f>
        <v>5</v>
      </c>
      <c r="BD18" s="126">
        <f>IF(ISNUMBER(BA18/AZ18),BA18/AZ18," - ")</f>
        <v>0.86440677966101698</v>
      </c>
      <c r="BE18" s="127">
        <f>IF(ISNUMBER(BB18/BA18),BB18/BA18, " - ")</f>
        <v>1.5098039215686274</v>
      </c>
      <c r="BF18" s="127">
        <f>IF(ISNUMBER(BC18/BA18),BC18/BA18, " - ")</f>
        <v>9.8039215686274508E-2</v>
      </c>
      <c r="BG18" s="195">
        <f>IF(ISNUMBER((AY18+AZ18)/BA18),(AY18+AZ18)/BA18," - ")</f>
        <v>2.5098039215686274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3633</v>
      </c>
      <c r="J19" s="183">
        <f t="shared" si="20"/>
        <v>2271</v>
      </c>
      <c r="K19" s="183">
        <f t="shared" si="20"/>
        <v>2594</v>
      </c>
      <c r="L19" s="183">
        <f t="shared" si="20"/>
        <v>3314</v>
      </c>
      <c r="M19" s="183">
        <f t="shared" si="20"/>
        <v>251</v>
      </c>
      <c r="N19" s="183">
        <f t="shared" si="20"/>
        <v>1620</v>
      </c>
      <c r="O19" s="183">
        <f t="shared" si="20"/>
        <v>0</v>
      </c>
      <c r="P19" s="183">
        <f t="shared" si="20"/>
        <v>23</v>
      </c>
      <c r="Q19" s="183">
        <f t="shared" si="20"/>
        <v>123</v>
      </c>
      <c r="R19" s="183">
        <f t="shared" si="20"/>
        <v>218</v>
      </c>
      <c r="S19" s="183">
        <f t="shared" si="20"/>
        <v>4140</v>
      </c>
      <c r="T19" s="183">
        <f t="shared" si="20"/>
        <v>3797</v>
      </c>
      <c r="U19" s="183">
        <f t="shared" si="20"/>
        <v>3891</v>
      </c>
      <c r="V19" s="183">
        <f t="shared" si="20"/>
        <v>3897</v>
      </c>
      <c r="W19" s="183">
        <f t="shared" si="20"/>
        <v>294</v>
      </c>
      <c r="X19" s="183">
        <f t="shared" si="20"/>
        <v>2387</v>
      </c>
      <c r="Y19" s="183">
        <f t="shared" si="20"/>
        <v>0</v>
      </c>
      <c r="Z19" s="183">
        <f t="shared" si="20"/>
        <v>0</v>
      </c>
      <c r="AA19" s="183">
        <f t="shared" si="20"/>
        <v>0</v>
      </c>
      <c r="AB19" s="183">
        <f t="shared" si="20"/>
        <v>0</v>
      </c>
      <c r="AC19" s="183">
        <f t="shared" si="20"/>
        <v>7</v>
      </c>
      <c r="AD19" s="183">
        <f t="shared" si="20"/>
        <v>3</v>
      </c>
      <c r="AE19" s="183">
        <f t="shared" si="20"/>
        <v>2</v>
      </c>
      <c r="AF19" s="183">
        <f t="shared" si="20"/>
        <v>8</v>
      </c>
      <c r="AG19" s="183">
        <f t="shared" si="20"/>
        <v>0</v>
      </c>
      <c r="AH19" s="183">
        <f t="shared" si="20"/>
        <v>0</v>
      </c>
      <c r="AI19" s="183">
        <f t="shared" si="20"/>
        <v>0</v>
      </c>
      <c r="AJ19" s="183">
        <f t="shared" si="20"/>
        <v>0</v>
      </c>
      <c r="AK19" s="183">
        <f t="shared" si="20"/>
        <v>34</v>
      </c>
      <c r="AL19" s="183">
        <f t="shared" si="20"/>
        <v>7</v>
      </c>
      <c r="AM19" s="183">
        <f t="shared" si="20"/>
        <v>41</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4140</v>
      </c>
      <c r="AZ19" s="183">
        <f>SUBTOTAL(9,AZ14:AZ18)</f>
        <v>3797</v>
      </c>
      <c r="BA19" s="183">
        <f>SUBTOTAL(9,BA14:BA18)</f>
        <v>3891</v>
      </c>
      <c r="BB19" s="183">
        <f>SUBTOTAL(9,BB14:BB18)</f>
        <v>3897</v>
      </c>
      <c r="BC19" s="183">
        <f>SUBTOTAL(9,BC14:BC18)</f>
        <v>294</v>
      </c>
      <c r="BD19" s="204">
        <f>IF(ISNUMBER(BA19/AZ19),BA19/AZ19," - ")</f>
        <v>1.0247563866210165</v>
      </c>
      <c r="BE19" s="205">
        <f>IF(ISNUMBER(BB19/BA19),BB19/BA19, " - ")</f>
        <v>1.0015420200462606</v>
      </c>
      <c r="BF19" s="205">
        <f>IF(ISNUMBER(BC19/BA19),BC19/BA19, " - ")</f>
        <v>7.5558982266769464E-2</v>
      </c>
      <c r="BG19" s="206">
        <f>IF(ISNUMBER((AY19+AZ19)/BA19),(AY19+AZ19)/BA19," - ")</f>
        <v>2.0398355178617322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14452</v>
      </c>
      <c r="J20" s="134">
        <f t="shared" si="23"/>
        <v>4483</v>
      </c>
      <c r="K20" s="134">
        <f t="shared" si="23"/>
        <v>3884</v>
      </c>
      <c r="L20" s="134">
        <f t="shared" si="23"/>
        <v>15055</v>
      </c>
      <c r="M20" s="134">
        <f t="shared" si="23"/>
        <v>683</v>
      </c>
      <c r="N20" s="134">
        <f t="shared" si="23"/>
        <v>2055</v>
      </c>
      <c r="O20" s="134">
        <f t="shared" si="23"/>
        <v>498</v>
      </c>
      <c r="P20" s="134">
        <f t="shared" si="23"/>
        <v>174</v>
      </c>
      <c r="Q20" s="134">
        <f t="shared" si="23"/>
        <v>212</v>
      </c>
      <c r="R20" s="134">
        <f t="shared" si="23"/>
        <v>3902</v>
      </c>
      <c r="S20" s="134">
        <f t="shared" si="23"/>
        <v>16432</v>
      </c>
      <c r="T20" s="134">
        <f t="shared" si="23"/>
        <v>5248</v>
      </c>
      <c r="U20" s="134">
        <f t="shared" si="23"/>
        <v>6483</v>
      </c>
      <c r="V20" s="134">
        <f t="shared" si="23"/>
        <v>14589</v>
      </c>
      <c r="W20" s="134">
        <f t="shared" si="23"/>
        <v>1214</v>
      </c>
      <c r="X20" s="134">
        <f t="shared" si="23"/>
        <v>3146</v>
      </c>
      <c r="Y20" s="134">
        <f t="shared" si="23"/>
        <v>121</v>
      </c>
      <c r="Z20" s="134">
        <f t="shared" si="23"/>
        <v>67</v>
      </c>
      <c r="AA20" s="134">
        <f t="shared" si="23"/>
        <v>52</v>
      </c>
      <c r="AB20" s="134">
        <f t="shared" si="23"/>
        <v>136</v>
      </c>
      <c r="AC20" s="134">
        <f t="shared" si="23"/>
        <v>7</v>
      </c>
      <c r="AD20" s="134">
        <f t="shared" si="23"/>
        <v>3</v>
      </c>
      <c r="AE20" s="134">
        <f t="shared" si="23"/>
        <v>2</v>
      </c>
      <c r="AF20" s="134">
        <f t="shared" si="23"/>
        <v>8</v>
      </c>
      <c r="AG20" s="134">
        <f t="shared" si="23"/>
        <v>67</v>
      </c>
      <c r="AH20" s="134">
        <f t="shared" si="23"/>
        <v>61</v>
      </c>
      <c r="AI20" s="134">
        <f t="shared" si="23"/>
        <v>32</v>
      </c>
      <c r="AJ20" s="134">
        <f t="shared" si="23"/>
        <v>96</v>
      </c>
      <c r="AK20" s="134">
        <f t="shared" si="23"/>
        <v>34</v>
      </c>
      <c r="AL20" s="134">
        <f t="shared" si="23"/>
        <v>7</v>
      </c>
      <c r="AM20" s="134">
        <f t="shared" si="23"/>
        <v>41</v>
      </c>
      <c r="AN20" s="209">
        <f t="shared" si="23"/>
        <v>0</v>
      </c>
      <c r="AO20" s="210">
        <v>6</v>
      </c>
      <c r="AP20" s="210">
        <v>5</v>
      </c>
      <c r="AQ20" s="210">
        <v>5</v>
      </c>
      <c r="AR20" s="210">
        <v>5</v>
      </c>
      <c r="AS20" s="152">
        <f t="shared" si="23"/>
        <v>0</v>
      </c>
      <c r="AT20" s="152">
        <f t="shared" si="23"/>
        <v>0</v>
      </c>
      <c r="AU20" s="210"/>
      <c r="AV20" s="211"/>
      <c r="AW20" s="210"/>
      <c r="AX20" s="211"/>
      <c r="AY20" s="133">
        <f>SUBTOTAL(9,AY9:AY19)</f>
        <v>16499</v>
      </c>
      <c r="AZ20" s="134">
        <f>SUBTOTAL(9,AZ9:AZ19)</f>
        <v>5309</v>
      </c>
      <c r="BA20" s="134">
        <f>SUBTOTAL(9,BA9:BA19)</f>
        <v>6515</v>
      </c>
      <c r="BB20" s="134">
        <f>SUBTOTAL(9,BB9:BB19)</f>
        <v>14685</v>
      </c>
      <c r="BC20" s="135">
        <f>SUBTOTAL(9,BC9:BC19)</f>
        <v>1050</v>
      </c>
      <c r="BD20" s="212">
        <f>IF(ISNUMBER(BA20/AZ20),BA20/AZ20," - ")</f>
        <v>1.2271614239969864</v>
      </c>
      <c r="BE20" s="209">
        <f>IF(ISNUMBER(BB20/BA20),BB20/BA20, " - ")</f>
        <v>2.254029163468918</v>
      </c>
      <c r="BF20" s="209">
        <f>IF(ISNUMBER(BC20/BA20),BC20/BA20, " - ")</f>
        <v>0.16116653875671527</v>
      </c>
      <c r="BG20" s="135">
        <f>IF(ISNUMBER((AY20+AZ20)/BA20),(AY20+AZ20)/BA20," - ")</f>
        <v>3.3473522640061395</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SV80P6SFwQwKIZ0CXpp3dIkxk/+qLz1wc+xTKIJUBlLUh9kxxRj/yhOvaplNz6rCeXtE/lKhigmWN7mNlEqoQ==" saltValue="NKn6coeqXDOnVYRHhvm4N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dzcgy9FerZbAUyQIfWXg7QV17DzzTqq70UMfHrJ+bplNbV0N9QywhPm5+tIsuJFnuymiEzaJPn5FwtRB5B34Q==" saltValue="CbDsSK2bkVitCF/F9KqTb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PRAT DE LLOBREGAT, EL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53</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54</v>
      </c>
      <c r="AG10" s="333"/>
      <c r="AH10" s="333"/>
      <c r="AI10" s="333"/>
      <c r="AJ10" s="333"/>
      <c r="AK10" s="333"/>
      <c r="AL10" s="478"/>
      <c r="AM10" s="334">
        <f>IF(ISNUMBER(Datos!R10),Datos!R10," - ")</f>
        <v>25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67</v>
      </c>
      <c r="O12" s="333"/>
      <c r="P12" s="333"/>
      <c r="Q12" s="225">
        <f>IF(ISNUMBER(Datos!P12),Datos!P12,0)</f>
        <v>151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136</v>
      </c>
      <c r="AI12" s="333" t="str">
        <f>IF(ISNUMBER(Datos!CD12),Datos!CD12,"-")</f>
        <v>-</v>
      </c>
      <c r="AJ12" s="333" t="str">
        <f>IF(ISNUMBER(Datos!EN12),Datos!EN12," - ")</f>
        <v xml:space="preserve"> - </v>
      </c>
      <c r="AK12" s="333"/>
      <c r="AL12" s="478"/>
      <c r="AM12" s="334">
        <f>IF(ISNUMBER(Datos!R12),Datos!R12," - ")</f>
        <v>3659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432</v>
      </c>
      <c r="BD12" s="228">
        <f>IF(ISNUMBER(Datos!N12),Datos!N12," - ")</f>
        <v>435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0.58911325724319574</v>
      </c>
      <c r="BH12" s="259">
        <f>IF(ISNUMBER(((IF(J_V="SI",Datos!L12/Datos!K12,(Datos!L12+Datos!AB12)/(Datos!K12+Datos!AA12)))*11)/factor_trimestre),((IF(J_V="SI",Datos!L12/Datos!K12,(Datos!L12+Datos!AB12)/(Datos!K12+Datos!AA12)))*11)/factor_trimestre," - ")</f>
        <v>26.429955290611026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1.7236586043925493E-2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53</v>
      </c>
      <c r="G13" s="895">
        <f t="shared" si="0"/>
        <v>53</v>
      </c>
      <c r="H13" s="896">
        <f t="shared" si="0"/>
        <v>0</v>
      </c>
      <c r="I13" s="895">
        <f t="shared" si="0"/>
        <v>0</v>
      </c>
      <c r="J13" s="864">
        <f t="shared" si="0"/>
        <v>0</v>
      </c>
      <c r="K13" s="864">
        <f t="shared" si="0"/>
        <v>0</v>
      </c>
      <c r="L13" s="896">
        <f t="shared" si="0"/>
        <v>0</v>
      </c>
      <c r="M13" s="896">
        <f t="shared" si="0"/>
        <v>0</v>
      </c>
      <c r="N13" s="896">
        <f t="shared" si="0"/>
        <v>67</v>
      </c>
      <c r="O13" s="897">
        <f t="shared" si="0"/>
        <v>0</v>
      </c>
      <c r="P13" s="897">
        <f t="shared" si="0"/>
        <v>0</v>
      </c>
      <c r="Q13" s="896">
        <f t="shared" si="0"/>
        <v>151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89</v>
      </c>
      <c r="AD13" s="896">
        <f t="shared" si="1"/>
        <v>0</v>
      </c>
      <c r="AE13" s="896">
        <f t="shared" si="1"/>
        <v>0</v>
      </c>
      <c r="AF13" s="896">
        <f t="shared" si="1"/>
        <v>54</v>
      </c>
      <c r="AG13" s="896">
        <f t="shared" si="1"/>
        <v>0</v>
      </c>
      <c r="AH13" s="896">
        <f t="shared" si="1"/>
        <v>136</v>
      </c>
      <c r="AI13" s="896">
        <f t="shared" si="1"/>
        <v>0</v>
      </c>
      <c r="AJ13" s="896">
        <f t="shared" si="1"/>
        <v>0</v>
      </c>
      <c r="AK13" s="896">
        <f t="shared" si="1"/>
        <v>0</v>
      </c>
      <c r="AL13" s="896">
        <f t="shared" si="1"/>
        <v>0</v>
      </c>
      <c r="AM13" s="896">
        <f t="shared" si="1"/>
        <v>3684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432</v>
      </c>
      <c r="BD13" s="896">
        <f t="shared" si="1"/>
        <v>435</v>
      </c>
      <c r="BE13" s="896">
        <f t="shared" si="1"/>
        <v>0</v>
      </c>
      <c r="BF13" s="896">
        <f t="shared" si="1"/>
        <v>0</v>
      </c>
      <c r="BG13" s="896">
        <f>IF(ISNUMBER(Datos!K13/Datos!J13),Datos!K13/Datos!J13," - ")</f>
        <v>0.58318264014466548</v>
      </c>
      <c r="BH13" s="900">
        <f>IF(ISNUMBER(((Datos!L13/Datos!K13)*11)/factor_trimestre),((Datos!L13/Datos!K13)*11)/factor_trimestre," - ")</f>
        <v>27.304651162790702</v>
      </c>
      <c r="BI13" s="896">
        <f>IF(ISNUMBER('Resol  Asuntos'!D13/NºAsuntos!G13),'Resol  Asuntos'!D13/NºAsuntos!G13," - ")</f>
        <v>0.32190760059612517</v>
      </c>
      <c r="BJ13" s="896" t="str">
        <f>IF(ISNUMBER(Datos!CI13/Datos!CJ13),Datos!CI13/Datos!CJ13," - ")</f>
        <v xml:space="preserve"> - </v>
      </c>
      <c r="BK13" s="896">
        <f>SUBTOTAL(9,BK8:BK12)</f>
        <v>0</v>
      </c>
      <c r="BL13" s="896">
        <f>IF(ISNUMBER((I13-AB13+L13)/(F13)),(I13-AB13+L13)/(F13)," - ")</f>
        <v>0</v>
      </c>
      <c r="BM13" s="901">
        <f>SUBTOTAL(9,BM9:BM12)</f>
        <v>1.7236586043925493E-2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3508</v>
      </c>
      <c r="G17" s="596">
        <f>IF(ISNUMBER(IF(D_I="SI",Datos!I17,Datos!I17+Datos!AC17)),IF(D_I="SI",Datos!I17,Datos!I17+Datos!AC17)," - ")</f>
        <v>3502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2527</v>
      </c>
      <c r="AC17" s="225">
        <f>IF(ISNUMBER(Datos!Q17),Datos!Q17," - ")</f>
        <v>123</v>
      </c>
      <c r="AD17" s="333"/>
      <c r="AE17" s="483"/>
      <c r="AF17" s="1192">
        <f>IF(ISNUMBER(IF(D_I="SI",Datos!L17,Datos!L17+Datos!AF17)),IF(D_I="SI",Datos!L17,Datos!L17+Datos!AF17)," - ")</f>
        <v>3160</v>
      </c>
      <c r="AG17" s="333"/>
      <c r="AH17" s="333"/>
      <c r="AI17" s="333"/>
      <c r="AJ17" s="333"/>
      <c r="AK17" s="333"/>
      <c r="AL17" s="478"/>
      <c r="AM17" s="334">
        <f>IF(ISNUMBER(Datos!R17),Datos!R17," - ")</f>
        <v>218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249</v>
      </c>
      <c r="BD17" s="228">
        <f>IF(ISNUMBER(Datos!N17),Datos!N17," - ")</f>
        <v>1575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1.1597062872877466</v>
      </c>
      <c r="BH17" s="259">
        <f>IF(ISNUMBER(((IF(D_I="SI",Datos!L17/Datos!K17,(Datos!L17+Datos!AF17)/(Datos!K17+Datos!AE17)))*11)/factor_trimestre),((IF(D_I="SI",Datos!L17/Datos!K17,(Datos!L17+Datos!AF17)/(Datos!K17+Datos!AE17)))*11)/factor_trimestre," - ")</f>
        <v>3.7514839730906218</v>
      </c>
      <c r="BI17" s="242">
        <f>IF(ISNUMBER('Resol  Asuntos'!D17/NºAsuntos!G17),'Resol  Asuntos'!D17/NºAsuntos!G17," - ")</f>
        <v>9.8535813217253659E-2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67</v>
      </c>
      <c r="AC18" s="225">
        <f>IF(ISNUMBER(Datos!Q18),Datos!Q18," - ")</f>
        <v>0</v>
      </c>
      <c r="AD18" s="333"/>
      <c r="AE18" s="483"/>
      <c r="AF18" s="331">
        <f>IF(ISNUMBER(Datos!L18),Datos!L18,"-")</f>
        <v>154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45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0.72826086956521741</v>
      </c>
      <c r="BH18" s="259">
        <f>IF(ISNUMBER(((IF(D_I="SI",Datos!L18/Datos!K18,(Datos!L18+Datos!AF18)/(Datos!K18+Datos!AE18)))*11)/factor_trimestre),((IF(D_I="SI",Datos!L18/Datos!K18,(Datos!L18+Datos!AF18)/(Datos!K18+Datos!AE18)))*11)/factor_trimestre," - ")</f>
        <v>6.8955223880597023</v>
      </c>
      <c r="BI18" s="242">
        <f>IF(ISNUMBER('Resol  Asuntos'!D18/NºAsuntos!G18),'Resol  Asuntos'!D18/NºAsuntos!G18," - ")</f>
        <v>2.9850746268656716E-2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3508</v>
      </c>
      <c r="G19" s="895">
        <f>SUBTOTAL(9,G15:G18)</f>
        <v>3633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2594</v>
      </c>
      <c r="AC19" s="896">
        <f t="shared" si="4"/>
        <v>123</v>
      </c>
      <c r="AD19" s="896">
        <f t="shared" si="4"/>
        <v>0</v>
      </c>
      <c r="AE19" s="896">
        <f t="shared" si="4"/>
        <v>0</v>
      </c>
      <c r="AF19" s="896">
        <f t="shared" si="4"/>
        <v>3314</v>
      </c>
      <c r="AG19" s="896">
        <f t="shared" si="4"/>
        <v>0</v>
      </c>
      <c r="AH19" s="896">
        <f t="shared" si="4"/>
        <v>0</v>
      </c>
      <c r="AI19" s="896">
        <f t="shared" si="4"/>
        <v>0</v>
      </c>
      <c r="AJ19" s="896">
        <f t="shared" si="4"/>
        <v>0</v>
      </c>
      <c r="AK19" s="896">
        <f t="shared" si="4"/>
        <v>0</v>
      </c>
      <c r="AL19" s="896">
        <f t="shared" si="4"/>
        <v>0</v>
      </c>
      <c r="AM19" s="896">
        <f t="shared" si="4"/>
        <v>218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251</v>
      </c>
      <c r="BD19" s="896">
        <f t="shared" si="4"/>
        <v>1620</v>
      </c>
      <c r="BE19" s="896">
        <f t="shared" si="4"/>
        <v>0</v>
      </c>
      <c r="BF19" s="896">
        <f t="shared" si="4"/>
        <v>0</v>
      </c>
      <c r="BG19" s="896">
        <f>IF(ISNUMBER(Datos!K19/Datos!J19),Datos!K19/Datos!J19," - ")</f>
        <v>1.1422280933509468</v>
      </c>
      <c r="BH19" s="900">
        <f>IF(ISNUMBER(((Datos!L19/Datos!K19)*11)/factor_trimestre),((Datos!L19/Datos!K19)*11)/factor_trimestre," - ")</f>
        <v>3.832690824980725</v>
      </c>
      <c r="BI19" s="896">
        <f>SUBTOTAL(9,BI15:BI18)</f>
        <v>0.12838655948591038</v>
      </c>
      <c r="BJ19" s="896">
        <f>SUBTOTAL(9,BJ15:BJ18)</f>
        <v>0</v>
      </c>
      <c r="BK19" s="896">
        <f>SUBTOTAL(9,BK15:BK18)</f>
        <v>0</v>
      </c>
      <c r="BL19" s="896">
        <f>IF(ISNUMBER((I19-AB19+L19)/(F19)),(I19-AB19+L19)/(F19)," - ")</f>
        <v>-0.73945267958950966</v>
      </c>
      <c r="BM19" s="902">
        <f>IF(ISNUMBER((Datos!P19-Datos!Q19)/(Datos!R19-Datos!P19+Datos!Q19)),(Datos!P19-Datos!Q19)/(Datos!R19-Datos!P19+Datos!Q19)," - ")</f>
        <v>-0.31446540880503143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3561</v>
      </c>
      <c r="G20" s="817">
        <f t="shared" si="6"/>
        <v>3686</v>
      </c>
      <c r="H20" s="819">
        <f t="shared" si="6"/>
        <v>0</v>
      </c>
      <c r="I20" s="817">
        <f t="shared" si="6"/>
        <v>0</v>
      </c>
      <c r="J20" s="819">
        <f t="shared" si="6"/>
        <v>0</v>
      </c>
      <c r="K20" s="819">
        <f t="shared" si="6"/>
        <v>0</v>
      </c>
      <c r="L20" s="878">
        <f t="shared" si="6"/>
        <v>0</v>
      </c>
      <c r="M20" s="878">
        <f t="shared" si="6"/>
        <v>0</v>
      </c>
      <c r="N20" s="878">
        <f t="shared" si="6"/>
        <v>67</v>
      </c>
      <c r="O20" s="878">
        <f t="shared" si="6"/>
        <v>0</v>
      </c>
      <c r="P20" s="878">
        <f t="shared" si="6"/>
        <v>0</v>
      </c>
      <c r="Q20" s="819">
        <f t="shared" si="6"/>
        <v>174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2594</v>
      </c>
      <c r="AC20" s="818">
        <f t="shared" si="7"/>
        <v>212</v>
      </c>
      <c r="AD20" s="818">
        <f t="shared" si="7"/>
        <v>0</v>
      </c>
      <c r="AE20" s="818">
        <f t="shared" si="7"/>
        <v>0</v>
      </c>
      <c r="AF20" s="825">
        <f t="shared" si="7"/>
        <v>3368</v>
      </c>
      <c r="AG20" s="825">
        <f t="shared" si="7"/>
        <v>0</v>
      </c>
      <c r="AH20" s="825">
        <f t="shared" si="7"/>
        <v>136</v>
      </c>
      <c r="AI20" s="825">
        <f t="shared" si="7"/>
        <v>0</v>
      </c>
      <c r="AJ20" s="818">
        <f t="shared" si="7"/>
        <v>0</v>
      </c>
      <c r="AK20" s="825">
        <f t="shared" si="7"/>
        <v>0</v>
      </c>
      <c r="AL20" s="825">
        <f t="shared" si="7"/>
        <v>0</v>
      </c>
      <c r="AM20" s="825">
        <f t="shared" si="7"/>
        <v>3902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683</v>
      </c>
      <c r="BD20" s="817">
        <f t="shared" si="7"/>
        <v>2055</v>
      </c>
      <c r="BE20" s="817">
        <f t="shared" si="7"/>
        <v>0</v>
      </c>
      <c r="BF20" s="827">
        <f t="shared" si="7"/>
        <v>0</v>
      </c>
      <c r="BG20" s="912">
        <f>IF(ISNUMBER(Datos!K20/Datos!J20),Datos!K20/Datos!J20," - ")</f>
        <v>0.86638411777827351</v>
      </c>
      <c r="BH20" s="912">
        <f>IF(ISNUMBER(((Datos!L20/Datos!K20)*11)/factor_trimestre),((Datos!L20/Datos!K20)*11)/factor_trimestre," - ")</f>
        <v>11.628475798146241</v>
      </c>
      <c r="BI20" s="810">
        <f>IF(ISNUMBER(Datos!J20/Datos!I20),Datos!J20/Datos!I20," - ")</f>
        <v>0.31019928037641847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-0.72844706543105864</v>
      </c>
      <c r="BM20" s="886">
        <f>IF(ISNUMBER((Datos!P20-Datos!Q20+R20)/(Datos!R20-Datos!P20+Datos!Q20-R20)),(Datos!P20-Datos!Q20+R20)/(Datos!R20-Datos!P20+Datos!Q20-R20)," - ")</f>
        <v>-9.6446700507614221E-3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1474.4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1994.7451800501572</v>
      </c>
      <c r="G22" s="551">
        <f>IF(ISNUMBER(STDEV(G8:G19)),STDEV(G8:G19),"-")</f>
        <v>1911.5566431576124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1390.6819550134387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193.52588112876961</v>
      </c>
      <c r="BD22" s="550"/>
      <c r="BE22" s="550">
        <f>IF(ISNUMBER(STDEV(BE8:BE19)),STDEV(BE8:BE19),"-")</f>
        <v>0</v>
      </c>
      <c r="BF22" s="555">
        <f>IF(ISNUMBER(STDEV(BF8:BF19)),STDEV(BF8:BF19),"-")</f>
        <v>0</v>
      </c>
      <c r="BG22" s="772">
        <f>IF(ISNUMBER(STDEV(BG8:BG19)),STDEV(BG8:BG19),"-")</f>
        <v>0.42979887502164171</v>
      </c>
      <c r="BH22" s="773">
        <f>IF(ISNUMBER(STDEV(BH8:BH19)),STDEV(BH8:BH19),"-")</f>
        <v>12.142483760999955</v>
      </c>
      <c r="BI22" s="248">
        <f>IF(ISNUMBER(STDEV(BI8:BI19)),STDEV(BI8:BI19),"-")</f>
        <v>0.12515342812916469</v>
      </c>
      <c r="BJ22" s="229" t="str">
        <f>IF(ISNUMBER(BL22/BM22),BL22/BM22," - ")</f>
        <v xml:space="preserve"> - </v>
      </c>
      <c r="BK22" s="574"/>
      <c r="BL22" s="558">
        <f>IF(ISNUMBER(STDEV(BL8:BL19)),STDEV(BL8:BL19),"-")</f>
        <v>0.52287200410430568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6heKXdI2ZvJ02CzhgIomNEsnaLdDbD28PqT666vc9jM/bYkpSXJMpsMUwRY25TR0xiB4eQSBHxgaiNrbpf2ig==" saltValue="cvVZJtTzNztLaqYJXffwX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PRAT DE LLOBREGAT, EL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53</v>
      </c>
      <c r="G10" s="224">
        <f>IF(ISNUMBER(Datos!I10),Datos!I10," - ")</f>
        <v>53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54</v>
      </c>
      <c r="AB10" s="333"/>
      <c r="AC10" s="333"/>
      <c r="AD10" s="483"/>
      <c r="AE10" s="483">
        <f>IF(ISNUMBER(Datos!R10),Datos!R10," - ")</f>
        <v>25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89</v>
      </c>
      <c r="AA12" s="331" t="str">
        <f>IF(ISNUMBER(IF(J_V="SI",Datos!L12,Datos!L12+Datos!AB12)-IF(Monitorios="SI",Datos!CD12,0)),
                          IF(J_V="SI",Datos!L12,Datos!L12+Datos!AB12)-IF(Monitorios="SI",Datos!CD12,0),
                          " - ")</f>
        <v xml:space="preserve"> - </v>
      </c>
      <c r="AB12" s="333"/>
      <c r="AC12" s="333"/>
      <c r="AD12" s="483"/>
      <c r="AE12" s="483">
        <f>IF(ISNUMBER(Datos!R12),Datos!R12," - ")</f>
        <v>3659</v>
      </c>
      <c r="AF12" s="228" t="str">
        <f>IF(ISNUMBER(Datos!BV12),Datos!BV12," - ")</f>
        <v xml:space="preserve"> - </v>
      </c>
      <c r="AG12" s="224" t="str">
        <f>IF(ISNUMBER(Datos!DV12),Datos!DV12," - ")</f>
        <v xml:space="preserve"> - </v>
      </c>
      <c r="AH12" s="297"/>
      <c r="AI12" s="226"/>
      <c r="AJ12" s="224">
        <f>IF(ISNUMBER(Datos!M12),Datos!M12," - ")</f>
        <v>432</v>
      </c>
      <c r="AK12" s="228">
        <f>IF(ISNUMBER(Datos!N12),Datos!N12," - ")</f>
        <v>435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26.429955290611026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1.7236586043925493E-2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53</v>
      </c>
      <c r="G13" s="895">
        <f>SUBTOTAL(9,G8:G12)</f>
        <v>53</v>
      </c>
      <c r="H13" s="905"/>
      <c r="I13" s="895">
        <f t="shared" ref="I13:N13" si="0">SUBTOTAL(9,I8:I12)</f>
        <v>0</v>
      </c>
      <c r="J13" s="864">
        <f t="shared" si="0"/>
        <v>0</v>
      </c>
      <c r="K13" s="905">
        <f t="shared" si="0"/>
        <v>0</v>
      </c>
      <c r="L13" s="905">
        <f t="shared" si="0"/>
        <v>0</v>
      </c>
      <c r="M13" s="905">
        <f t="shared" si="0"/>
        <v>0</v>
      </c>
      <c r="N13" s="905">
        <f t="shared" si="0"/>
        <v>151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89</v>
      </c>
      <c r="AA13" s="897">
        <f t="shared" si="2"/>
        <v>54</v>
      </c>
      <c r="AB13" s="897">
        <f t="shared" si="2"/>
        <v>0</v>
      </c>
      <c r="AC13" s="897">
        <f t="shared" si="2"/>
        <v>0</v>
      </c>
      <c r="AD13" s="897">
        <f t="shared" si="2"/>
        <v>0</v>
      </c>
      <c r="AE13" s="897">
        <f t="shared" si="2"/>
        <v>3684</v>
      </c>
      <c r="AF13" s="905">
        <f t="shared" si="2"/>
        <v>0</v>
      </c>
      <c r="AG13" s="905">
        <f t="shared" si="2"/>
        <v>0</v>
      </c>
      <c r="AH13" s="905">
        <f t="shared" si="2"/>
        <v>0</v>
      </c>
      <c r="AI13" s="905">
        <f t="shared" si="2"/>
        <v>0</v>
      </c>
      <c r="AJ13" s="905">
        <f t="shared" si="2"/>
        <v>432</v>
      </c>
      <c r="AK13" s="905">
        <f t="shared" si="2"/>
        <v>435</v>
      </c>
      <c r="AL13" s="905">
        <f t="shared" si="2"/>
        <v>0</v>
      </c>
      <c r="AM13" s="905">
        <f t="shared" si="2"/>
        <v>0</v>
      </c>
      <c r="AN13" s="905">
        <f t="shared" si="2"/>
        <v>0</v>
      </c>
      <c r="AO13" s="901">
        <f>IF(ISNUMBER(((NºAsuntos!I13/NºAsuntos!G13)*11)/factor_trimestre),((NºAsuntos!I13/NºAsuntos!G13)*11)/factor_trimestre," - ")</f>
        <v>26.550670640834579</v>
      </c>
      <c r="AP13" s="907" t="str">
        <f>IF(ISNUMBER(Datos!CI13/Datos!CJ13),Datos!CI13/Datos!CJ13," - ")</f>
        <v xml:space="preserve"> - </v>
      </c>
      <c r="AQ13" s="923">
        <f t="shared" ref="AQ13:AV13" si="3">SUBTOTAL(9,AQ9:AQ12)</f>
        <v>0</v>
      </c>
      <c r="AR13" s="923">
        <f t="shared" si="3"/>
        <v>1.7236586043925493E-2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3508</v>
      </c>
      <c r="G17" s="224">
        <f>IF(ISNUMBER(IF(D_I="SI",Datos!I17,Datos!I17+Datos!AC17)),IF(D_I="SI",Datos!I17,Datos!I17+Datos!AC17)," - ")</f>
        <v>3502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2527</v>
      </c>
      <c r="Z17" s="617">
        <f>IF(ISNUMBER(Datos!Q17),Datos!Q17," - ")</f>
        <v>123</v>
      </c>
      <c r="AA17" s="331">
        <f>IF(ISNUMBER(IF(D_I="SI",Datos!L17,Datos!L17+Datos!AF17)),IF(D_I="SI",Datos!L17,Datos!L17+Datos!AF17)," - ")</f>
        <v>3160</v>
      </c>
      <c r="AB17" s="333"/>
      <c r="AC17" s="333"/>
      <c r="AD17" s="483"/>
      <c r="AE17" s="483">
        <f>IF(ISNUMBER(Datos!R17),Datos!R17," - ")</f>
        <v>218</v>
      </c>
      <c r="AF17" s="228" t="str">
        <f>IF(ISNUMBER(Datos!BV17),Datos!BV17," - ")</f>
        <v xml:space="preserve"> - </v>
      </c>
      <c r="AG17" s="224"/>
      <c r="AH17" s="297"/>
      <c r="AI17" s="226"/>
      <c r="AJ17" s="224">
        <f>IF(ISNUMBER(Datos!M17),Datos!M17," - ")</f>
        <v>249</v>
      </c>
      <c r="AK17" s="228">
        <f>IF(ISNUMBER(Datos!N17),Datos!N17," - ")</f>
        <v>1575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3.7514839730906218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67</v>
      </c>
      <c r="Z18" s="617">
        <f>IF(ISNUMBER(Datos!Q18),Datos!Q18," - ")</f>
        <v>0</v>
      </c>
      <c r="AA18" s="331">
        <f>IF(ISNUMBER(Datos!L18),Datos!L18,"-")</f>
        <v>154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45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6.8955223880597023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3508</v>
      </c>
      <c r="G19" s="895">
        <f>SUBTOTAL(9,G15:G18)</f>
        <v>3633</v>
      </c>
      <c r="H19" s="927">
        <f>SUBTOTAL(9,H15:H18)</f>
        <v>0</v>
      </c>
      <c r="I19" s="908">
        <f>SUBTOTAL(9,I15:I18)</f>
        <v>0</v>
      </c>
      <c r="J19" s="864">
        <f>SUBTOTAL(9,J14:J18)</f>
        <v>0</v>
      </c>
      <c r="K19" s="927">
        <f t="shared" ref="K19:S19" si="4">SUBTOTAL(9,K15:K18)</f>
        <v>0</v>
      </c>
      <c r="L19" s="927">
        <f t="shared" si="4"/>
        <v>0</v>
      </c>
      <c r="M19" s="927">
        <f t="shared" si="4"/>
        <v>0</v>
      </c>
      <c r="N19" s="927">
        <f t="shared" si="4"/>
        <v>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2594</v>
      </c>
      <c r="Z19" s="927">
        <f t="shared" si="5"/>
        <v>123</v>
      </c>
      <c r="AA19" s="927">
        <f t="shared" si="5"/>
        <v>3314</v>
      </c>
      <c r="AB19" s="927">
        <f t="shared" si="5"/>
        <v>0</v>
      </c>
      <c r="AC19" s="927">
        <f t="shared" si="5"/>
        <v>0</v>
      </c>
      <c r="AD19" s="927">
        <f t="shared" si="5"/>
        <v>0</v>
      </c>
      <c r="AE19" s="927">
        <f t="shared" si="5"/>
        <v>218</v>
      </c>
      <c r="AF19" s="927">
        <f t="shared" si="5"/>
        <v>0</v>
      </c>
      <c r="AG19" s="927">
        <f t="shared" si="5"/>
        <v>0</v>
      </c>
      <c r="AH19" s="927">
        <f t="shared" si="5"/>
        <v>0</v>
      </c>
      <c r="AI19" s="927">
        <f t="shared" si="5"/>
        <v>0</v>
      </c>
      <c r="AJ19" s="927">
        <f t="shared" si="5"/>
        <v>251</v>
      </c>
      <c r="AK19" s="927">
        <f t="shared" si="5"/>
        <v>1620</v>
      </c>
      <c r="AL19" s="927">
        <f t="shared" si="5"/>
        <v>0</v>
      </c>
      <c r="AM19" s="927">
        <f t="shared" si="5"/>
        <v>0</v>
      </c>
      <c r="AN19" s="927">
        <f t="shared" si="5"/>
        <v>0</v>
      </c>
      <c r="AO19" s="929">
        <f>IF(ISNUMBER(((NºAsuntos!I19/NºAsuntos!G19)*11)/factor_trimestre),((NºAsuntos!I19/NºAsuntos!G19)*11)/factor_trimestre," - ")</f>
        <v>3.832690824980725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3561</v>
      </c>
      <c r="G20" s="817">
        <f t="shared" si="7"/>
        <v>3686</v>
      </c>
      <c r="H20" s="818">
        <f t="shared" si="7"/>
        <v>0</v>
      </c>
      <c r="I20" s="817">
        <f t="shared" si="7"/>
        <v>0</v>
      </c>
      <c r="J20" s="819">
        <f t="shared" si="7"/>
        <v>0</v>
      </c>
      <c r="K20" s="817">
        <f t="shared" si="7"/>
        <v>0</v>
      </c>
      <c r="L20" s="820">
        <f t="shared" si="7"/>
        <v>0</v>
      </c>
      <c r="M20" s="817">
        <f t="shared" si="7"/>
        <v>0</v>
      </c>
      <c r="N20" s="818">
        <f t="shared" si="7"/>
        <v>174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2594</v>
      </c>
      <c r="Z20" s="824">
        <f t="shared" si="8"/>
        <v>212</v>
      </c>
      <c r="AA20" s="825">
        <f t="shared" si="8"/>
        <v>3368</v>
      </c>
      <c r="AB20" s="825">
        <f t="shared" si="8"/>
        <v>0</v>
      </c>
      <c r="AC20" s="825">
        <f t="shared" si="8"/>
        <v>0</v>
      </c>
      <c r="AD20" s="826">
        <f t="shared" si="8"/>
        <v>0</v>
      </c>
      <c r="AE20" s="826">
        <f t="shared" si="8"/>
        <v>3902</v>
      </c>
      <c r="AF20" s="827">
        <f t="shared" si="8"/>
        <v>0</v>
      </c>
      <c r="AG20" s="828">
        <f t="shared" si="8"/>
        <v>0</v>
      </c>
      <c r="AH20" s="829">
        <f t="shared" si="8"/>
        <v>0</v>
      </c>
      <c r="AI20" s="827">
        <f t="shared" si="8"/>
        <v>0</v>
      </c>
      <c r="AJ20" s="817">
        <f t="shared" si="8"/>
        <v>683</v>
      </c>
      <c r="AK20" s="817">
        <f t="shared" si="8"/>
        <v>2055</v>
      </c>
      <c r="AL20" s="817">
        <f t="shared" si="8"/>
        <v>0</v>
      </c>
      <c r="AM20" s="830">
        <f t="shared" si="8"/>
        <v>0</v>
      </c>
      <c r="AN20" s="820">
        <f>IF(ISNUMBER(Datos!K20/Datos!J20),Datos!K20/Datos!J20," - ")</f>
        <v>0.86638411777827351</v>
      </c>
      <c r="AO20" s="820">
        <f>IF(ISNUMBER(FIND("06",Criterios!A8,1)),(IF(ISNUMBER(((Datos!R20/Datos!Q20)*11)/factor_trimestre),((Datos!R20/Datos!Q20)*11)/factor_trimestre," - ")),(IF(ISNUMBER(((Datos!L20/Datos!K20)*11)/factor_trimestre),((Datos!L20/Datos!K20)*11)/factor_trimestre," - ")))</f>
        <v>11.628475798146241</v>
      </c>
      <c r="AP20" s="831" t="str">
        <f>IF(ISNUMBER(Datos!CI20/Datos!CJ20),Datos!CI20/Datos!CJ20," - ")</f>
        <v xml:space="preserve"> - </v>
      </c>
      <c r="AQ20" s="831">
        <f>IF(OR(ISNUMBER(FIND("01",Criterios!A8,1)),ISNUMBER(FIND("02",Criterios!A8,1)),ISNUMBER(FIND("03",Criterios!A8,1)),ISNUMBER(FIND("04",Criterios!A8,1))),(J20-Y20+K20)/(F20-K20),(I20-Y20+K20)/(F20-K20))</f>
        <v>-0.72844706543105864</v>
      </c>
      <c r="AR20" s="831">
        <f>IF(ISNUMBER((Datos!P20-Datos!Q20+O20)/(Datos!R20-Datos!P20+Datos!Q20-O20)),(Datos!P20-Datos!Q20+O20)/(Datos!R20-Datos!P20+Datos!Q20-O20)," - ")</f>
        <v>-9.6446700507614221E-3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1474.4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1994.7451800501572</v>
      </c>
      <c r="G22" s="551">
        <f>IF(ISNUMBER(STDEV(G8:G19)),STDEV(G8:G19),"-")</f>
        <v>1911.5566431576124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193.52588112876961</v>
      </c>
      <c r="AK22" s="251"/>
      <c r="AL22" s="251">
        <f>IF(ISNUMBER(STDEV(AL8:AL19)),STDEV(AL8:AL19),"-")</f>
        <v>0</v>
      </c>
      <c r="AM22" s="253">
        <f>IF(ISNUMBER(STDEV(AM8:AM19)),STDEV(AM8:AM19),"-")</f>
        <v>0</v>
      </c>
      <c r="AN22" s="538">
        <f>IF(ISNUMBER(STDEV(AN8:AN19)),STDEV(AN8:AN19),"-")</f>
        <v>0</v>
      </c>
      <c r="AO22" s="539">
        <f>IF(ISNUMBER(STDEV(AO8:AO19)),STDEV(AO8:AO19),"-")</f>
        <v>11.93328317229466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zCvvDtYuP3+uw3IiIwJB2Jt+DC0cfKfOJHaKmaFPTrjVd0l269c3jsX0VvbUjWcXoYcfRj75R7JJic653J3kQ==" saltValue="caNYULPVg974XMjumkpX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Vj+q7exuGiN/2mUv7LpE5Q85/uFu3uVqdRaSuLGnKxUnKKjlEq3IUVTO8CZKeoVlatRvSYxoYMoeaWPa7P2mQ==" saltValue="Gy6/79hR1t3Xo1ThYk6WJ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amGG1ZwDu1U3Z8d3rCYGjwyw7glxe2SkPyryRC3AF42tI6tnziEQAPRy8GdjFJox5x3qDipAyt8C5ytZX+UVA==" saltValue="oY59CenColBzySQXSP4sD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PRAT DE LLOBREGAT, EL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0.32190760059612517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0.2276230472970108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Y+WtpkULUH3/k0JzoDPoZEKTIRIBkSJ6C2HfIDvVAEJFvW1QsuP84xuLk1wvMxCx9SVyfd4tz5mIUzVY4uj6Q==" saltValue="eAYXFWYZYLDr082R7tCz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34jokfZFxO+62RTBHGkG3PwlnE9fSrK91WsFWoNVAF62XzIP1Ofxqwpnnirp2HVYz2VhLHTKWXwBvuk2NbjyQ==" saltValue="5TuqeZ1Hos5801ipRFXl/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PRAT DE LLOBREGAT, EL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53</v>
      </c>
      <c r="G10" s="681">
        <f>IF(ISNUMBER(Datos!I10),Datos!I10," - ")</f>
        <v>53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3659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432</v>
      </c>
      <c r="AM12" s="687">
        <f>IF(ISNUMBER(Datos!N12+DatosP!N17),Datos!N12+DatosP!N17," - ")</f>
        <v>435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26.429955290611026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1.7236586043925493E-2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53</v>
      </c>
      <c r="G13" s="933">
        <f t="shared" si="0"/>
        <v>53</v>
      </c>
      <c r="H13" s="933">
        <f t="shared" si="0"/>
        <v>0</v>
      </c>
      <c r="I13" s="935">
        <f t="shared" si="0"/>
        <v>0</v>
      </c>
      <c r="J13" s="934">
        <f t="shared" si="0"/>
        <v>0</v>
      </c>
      <c r="K13" s="934">
        <f t="shared" si="0"/>
        <v>0</v>
      </c>
      <c r="L13" s="936">
        <f t="shared" si="0"/>
        <v>0</v>
      </c>
      <c r="M13" s="936">
        <f t="shared" si="0"/>
        <v>0</v>
      </c>
      <c r="N13" s="934">
        <f t="shared" si="0"/>
        <v>151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89</v>
      </c>
      <c r="AE13" s="934">
        <f t="shared" si="1"/>
        <v>0</v>
      </c>
      <c r="AF13" s="934">
        <f t="shared" si="1"/>
        <v>54</v>
      </c>
      <c r="AG13" s="934">
        <f t="shared" si="1"/>
        <v>0</v>
      </c>
      <c r="AH13" s="934">
        <f t="shared" si="1"/>
        <v>3659</v>
      </c>
      <c r="AI13" s="934">
        <f t="shared" si="1"/>
        <v>0</v>
      </c>
      <c r="AJ13" s="934">
        <f t="shared" si="1"/>
        <v>0</v>
      </c>
      <c r="AK13" s="934">
        <f t="shared" si="1"/>
        <v>0</v>
      </c>
      <c r="AL13" s="934">
        <f t="shared" si="1"/>
        <v>432</v>
      </c>
      <c r="AM13" s="934">
        <f t="shared" si="1"/>
        <v>435</v>
      </c>
      <c r="AN13" s="934">
        <f t="shared" si="1"/>
        <v>0</v>
      </c>
      <c r="AO13" s="934">
        <f t="shared" si="1"/>
        <v>0</v>
      </c>
      <c r="AP13" s="939">
        <f>IF(ISNUMBER(((Datos!L13/Datos!K13)*11)/factor_trimestre),((Datos!L13/Datos!K13)*11)/factor_trimestre," - ")</f>
        <v>27.304651162790702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1.7236586043925493E-2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3.832690824980725</v>
      </c>
      <c r="AQ19" s="939">
        <f>IF(ISNUMBER(((Datos!M19/Datos!L19)*11)/factor_trimestre),((Datos!M19/Datos!L19)*11)/factor_trimestre," - ")</f>
        <v>0.22721786360893181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-0.31446540880503143</v>
      </c>
      <c r="AW19" s="941">
        <f>IF(ISNUMBER((Datos!Q19-Datos!R19)/(Datos!S19-Datos!Q19+Datos!R19)),(Datos!Q19-Datos!R19)/(Datos!S19-Datos!Q19+Datos!R19)," - ")</f>
        <v>-2.2432113341204249E-2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53</v>
      </c>
      <c r="G20" s="946">
        <f t="shared" si="4"/>
        <v>53</v>
      </c>
      <c r="H20" s="946">
        <f t="shared" si="4"/>
        <v>0</v>
      </c>
      <c r="I20" s="947">
        <f t="shared" si="4"/>
        <v>0</v>
      </c>
      <c r="J20" s="948">
        <f t="shared" si="4"/>
        <v>0</v>
      </c>
      <c r="K20" s="948">
        <f t="shared" si="4"/>
        <v>0</v>
      </c>
      <c r="L20" s="948">
        <f t="shared" si="4"/>
        <v>0</v>
      </c>
      <c r="M20" s="948">
        <f t="shared" si="4"/>
        <v>0</v>
      </c>
      <c r="N20" s="947">
        <f t="shared" si="4"/>
        <v>151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89</v>
      </c>
      <c r="AE20" s="952">
        <f t="shared" si="5"/>
        <v>0</v>
      </c>
      <c r="AF20" s="953">
        <f t="shared" si="5"/>
        <v>54</v>
      </c>
      <c r="AG20" s="953">
        <f t="shared" si="5"/>
        <v>0</v>
      </c>
      <c r="AH20" s="953">
        <f t="shared" si="5"/>
        <v>3659</v>
      </c>
      <c r="AI20" s="953">
        <f t="shared" si="5"/>
        <v>0</v>
      </c>
      <c r="AJ20" s="954">
        <f t="shared" si="5"/>
        <v>0</v>
      </c>
      <c r="AK20" s="954">
        <f t="shared" si="5"/>
        <v>0</v>
      </c>
      <c r="AL20" s="946">
        <f t="shared" si="5"/>
        <v>432</v>
      </c>
      <c r="AM20" s="946">
        <f t="shared" si="5"/>
        <v>435</v>
      </c>
      <c r="AN20" s="946">
        <f t="shared" si="5"/>
        <v>0</v>
      </c>
      <c r="AO20" s="946">
        <f t="shared" si="5"/>
        <v>0</v>
      </c>
      <c r="AP20" s="946">
        <f>IF(ISNUMBER(((Datos!L20/Datos!K20)*11)/factor_trimestre),((Datos!L20/Datos!K20)*11)/factor_trimestre," - ")</f>
        <v>11.628475798146241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-9.6446700507614221E-3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35.333333333333336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30.599564267050166</v>
      </c>
      <c r="G22" s="734">
        <f>IF(ISNUMBER(STDEV(G8:G19)),STDEV(G8:G19),"-")</f>
        <v>30.599564267050166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249.41531628991834</v>
      </c>
      <c r="AM22" s="733"/>
      <c r="AN22" s="733">
        <f>IF(ISNUMBER(STDEV(AN8:AN19)),STDEV(AN8:AN19),"-")</f>
        <v>0</v>
      </c>
      <c r="AO22" s="739">
        <f>IF(ISNUMBER(STDEV(AO8:AO19)),STDEV(AO8:AO19),"-")</f>
        <v>0</v>
      </c>
      <c r="AP22" s="776">
        <f>IF(ISNUMBER(STDEV(AP8:AP19)),STDEV(AP8:AP19),"-")</f>
        <v>13.306228969284597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YYU9fQ0Tehx8TO0YAcwg9jq21RsYc/EjelAgCehN+NZ0xocKXz+4WxFrXUO+PCfgO+BTLj9vkgS0XOyiFL4oQ==" saltValue="ur1RN4CfsSiG1pueYe+h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PRAT DE LLOBREGAT, EL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917.26819550134383</v>
      </c>
      <c r="CF9" s="228">
        <f ca="1">AVERAGEIFS($AB:$AB,$BW:$BW,BW9,$BX:$BX,BX9)</f>
        <v>917.26819550134383</v>
      </c>
      <c r="CG9" s="1191">
        <v>0.7</v>
      </c>
      <c r="CH9" s="1191">
        <f ca="1">AVERAGEIF($BW:$BW,$BW9,$AC:$AC)</f>
        <v>63.6</v>
      </c>
      <c r="CI9" s="228">
        <f ca="1">AVERAGEIFS($AC:$AC,$BW:$BW,$BW9,$BX:$BX,$BX9)</f>
        <v>63.6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1122.6666666666667</v>
      </c>
      <c r="CR9" s="228">
        <f ca="1">AVERAGEIFS($AF:$AF,$BW:$BW,BW9,$BX:$BX,BX9)</f>
        <v>1122.6666666666667</v>
      </c>
      <c r="CS9" s="1191">
        <v>1.3</v>
      </c>
      <c r="CT9" s="1191">
        <v>1.5</v>
      </c>
      <c r="CU9" s="1191">
        <f ca="1">AVERAGEIF($BW:$BW,$BW9,$AH:$AH)</f>
        <v>58.285714285714285</v>
      </c>
      <c r="CV9" s="228">
        <f ca="1">AVERAGEIFS($AH:$AH,$BW:$BW,$BW9,$BX:$BX,$BX9)</f>
        <v>58.285714285714285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1170.5999999999999</v>
      </c>
      <c r="DH9" s="228">
        <f ca="1">AVERAGEIFS($AM:$AM,$BW:$BW,$BW9,$BX:$BX,$BX9)</f>
        <v>1170.5999999999999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9.1985263198678968</v>
      </c>
      <c r="ER9" s="228">
        <f ca="1">AVERAGEIFS($BH:$BH,$BW:$BW,$BW9,$BX:$BX,$BX9)</f>
        <v>9.1985263198678968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53</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54</v>
      </c>
      <c r="AG10" s="333"/>
      <c r="AH10" s="224"/>
      <c r="AI10" s="224"/>
      <c r="AJ10" s="224"/>
      <c r="AK10" s="333"/>
      <c r="AL10" s="478"/>
      <c r="AM10" s="224">
        <f>IF(ISNUMBER(Datos!R10),Datos!R10," - ")</f>
        <v>25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917.26819550134383</v>
      </c>
      <c r="CF10" s="228">
        <f ca="1">AVERAGEIFS($AB:$AB,$BW:$BW,BW10,$BX:$BX,BX10)</f>
        <v>917.26819550134383</v>
      </c>
      <c r="CG10" s="1191">
        <v>0.7</v>
      </c>
      <c r="CH10" s="1191">
        <f ca="1">AVERAGEIF($BW:$BW,BW10,$AC:$AC)</f>
        <v>63.6</v>
      </c>
      <c r="CI10" s="228">
        <f ca="1">AVERAGEIFS($AC:$AC,$BW:$BW,BW10,$BX:$BX,BX10)</f>
        <v>63.6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1122.6666666666667</v>
      </c>
      <c r="CR10" s="228">
        <f ca="1">AVERAGEIFS($AF:$AF,$BW:$BW,BW10,$BX:$BX,BX10)</f>
        <v>1122.6666666666667</v>
      </c>
      <c r="CS10" s="1191">
        <v>1.3</v>
      </c>
      <c r="CT10" s="1191">
        <v>1.5</v>
      </c>
      <c r="CU10" s="1191">
        <f ca="1">AVERAGEIF($BW:$BW,$BW10,$AH:$AH)</f>
        <v>58.285714285714285</v>
      </c>
      <c r="CV10" s="228">
        <f ca="1">AVERAGEIFS($AH:$AH,$BW:$BW,$BW10,$BX:$BX,$BX10)</f>
        <v>58.285714285714285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1170.5999999999999</v>
      </c>
      <c r="DH10" s="228">
        <f ca="1">AVERAGEIFS($AM:$AM,$BW:$BW,$BW10,$BX:$BX,$BX10)</f>
        <v>1170.5999999999999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9.1985263198678968</v>
      </c>
      <c r="ER10" s="228">
        <f ca="1">AVERAGEIFS($BH:$BH,$BW:$BW,$BW10,$BX:$BX,$BX10)</f>
        <v>9.1985263198678968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917.26819550134383</v>
      </c>
      <c r="CF11" s="228">
        <f ca="1">AVERAGEIFS($AB:$AB,$BW:$BW,BW11,$BX:$BX,BX11)</f>
        <v>917.26819550134383</v>
      </c>
      <c r="CG11" s="1191">
        <v>0.7</v>
      </c>
      <c r="CH11" s="1191">
        <f ca="1">AVERAGEIF($BW:$BW,BW11,$AC:$AC)</f>
        <v>63.6</v>
      </c>
      <c r="CI11" s="228">
        <f ca="1">AVERAGEIFS($AC:$AC,$BW:$BW,BW11,$BX:$BX,BX11)</f>
        <v>63.6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1122.6666666666667</v>
      </c>
      <c r="CR11" s="228">
        <f ca="1">AVERAGEIFS($AF:$AF,$BW:$BW,BW11,$BX:$BX,BX11)</f>
        <v>1122.6666666666667</v>
      </c>
      <c r="CS11" s="1191">
        <v>1.3</v>
      </c>
      <c r="CT11" s="1191">
        <v>1.5</v>
      </c>
      <c r="CU11" s="1191">
        <f ca="1">AVERAGEIF($BW:$BW,$BW11,$AH:$AH)</f>
        <v>58.285714285714285</v>
      </c>
      <c r="CV11" s="228">
        <f ca="1">AVERAGEIFS($AH:$AH,$BW:$BW,$BW11,$BX:$BX,$BX11)</f>
        <v>58.285714285714285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1170.5999999999999</v>
      </c>
      <c r="DH11" s="228">
        <f ca="1">AVERAGEIFS($AM:$AM,$BW:$BW,$BW11,$BX:$BX,$BX11)</f>
        <v>1170.5999999999999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9.1985263198678968</v>
      </c>
      <c r="ER11" s="228">
        <f ca="1">AVERAGEIFS($BH:$BH,$BW:$BW,$BW11,$BX:$BX,$BX11)</f>
        <v>9.1985263198678968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67</v>
      </c>
      <c r="O12" s="333"/>
      <c r="P12" s="333"/>
      <c r="Q12" s="225">
        <f>IF(ISNUMBER(Datos!P12),Datos!P12,0)</f>
        <v>151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136</v>
      </c>
      <c r="AI12" s="224" t="str">
        <f>IF(ISNUMBER(Datos!CD12),Datos!CD12,"-")</f>
        <v>-</v>
      </c>
      <c r="AJ12" s="224" t="str">
        <f>IF(ISNUMBER(Datos!EN12),Datos!EN12," - ")</f>
        <v xml:space="preserve"> - </v>
      </c>
      <c r="AK12" s="333"/>
      <c r="AL12" s="478"/>
      <c r="AM12" s="224">
        <f>IF(ISNUMBER(Datos!R12),Datos!R12," - ")</f>
        <v>3659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432</v>
      </c>
      <c r="BD12" s="228">
        <f>IF(ISNUMBER(Datos!N12),Datos!N12," - ")</f>
        <v>435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0.58911325724319574</v>
      </c>
      <c r="BH12" s="224">
        <f>IF(ISNUMBER(((IF(J_V="SI",Datos!L12/Datos!K12,(Datos!L12+Datos!AB12)/(Datos!K12+Datos!AA12)))*11)/factor_trimestre),((IF(J_V="SI",Datos!L12/Datos!K12,(Datos!L12+Datos!AB12)/(Datos!K12+Datos!AA12)))*11)/factor_trimestre," - ")</f>
        <v>26.429955290611026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1.7236586043925493E-2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917.26819550134383</v>
      </c>
      <c r="CF12" s="228">
        <f ca="1">AVERAGEIFS($AB:$AB,$BW:$BW,BW12,$BX:$BX,BX12)</f>
        <v>917.26819550134383</v>
      </c>
      <c r="CG12" s="1191">
        <v>0.7</v>
      </c>
      <c r="CH12" s="1191">
        <f ca="1">AVERAGEIF($BW:$BW,BW12,$AC:$AC)</f>
        <v>63.6</v>
      </c>
      <c r="CI12" s="228">
        <f ca="1">AVERAGEIFS($AC:$AC,$BW:$BW,BW12,$BX:$BX,BX12)</f>
        <v>63.6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1122.6666666666667</v>
      </c>
      <c r="CR12" s="228">
        <f ca="1">AVERAGEIFS($AF:$AF,$BW:$BW,BW12,$BX:$BX,BX12)</f>
        <v>1122.6666666666667</v>
      </c>
      <c r="CS12" s="1191">
        <v>1.3</v>
      </c>
      <c r="CT12" s="1191">
        <v>1.5</v>
      </c>
      <c r="CU12" s="1191">
        <f ca="1">AVERAGEIF($BW:$BW,$BW12,$AH:$AH)</f>
        <v>58.285714285714285</v>
      </c>
      <c r="CV12" s="228">
        <f ca="1">AVERAGEIFS($AH:$AH,$BW:$BW,$BW12,$BX:$BX,$BX12)</f>
        <v>58.285714285714285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1170.5999999999999</v>
      </c>
      <c r="DH12" s="228">
        <f ca="1">AVERAGEIFS($AM:$AM,$BW:$BW,$BW12,$BX:$BX,$BX12)</f>
        <v>1170.5999999999999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9.1985263198678968</v>
      </c>
      <c r="ER12" s="228">
        <f ca="1">AVERAGEIFS($BH:$BH,$BW:$BW,$BW12,$BX:$BX,$BX12)</f>
        <v>9.1985263198678968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53</v>
      </c>
      <c r="G13" s="895">
        <f t="shared" si="1"/>
        <v>53</v>
      </c>
      <c r="H13" s="896">
        <f t="shared" si="1"/>
        <v>0</v>
      </c>
      <c r="I13" s="895">
        <f t="shared" si="1"/>
        <v>0</v>
      </c>
      <c r="J13" s="864">
        <f t="shared" si="1"/>
        <v>0</v>
      </c>
      <c r="K13" s="864">
        <f t="shared" si="1"/>
        <v>0</v>
      </c>
      <c r="L13" s="896">
        <f t="shared" si="1"/>
        <v>0</v>
      </c>
      <c r="M13" s="896">
        <f t="shared" si="1"/>
        <v>0</v>
      </c>
      <c r="N13" s="896">
        <f t="shared" si="1"/>
        <v>67</v>
      </c>
      <c r="O13" s="897">
        <f t="shared" si="1"/>
        <v>0</v>
      </c>
      <c r="P13" s="897">
        <f t="shared" si="1"/>
        <v>0</v>
      </c>
      <c r="Q13" s="896">
        <f t="shared" si="1"/>
        <v>151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89</v>
      </c>
      <c r="AD13" s="896">
        <f t="shared" si="2"/>
        <v>0</v>
      </c>
      <c r="AE13" s="896">
        <f t="shared" si="2"/>
        <v>0</v>
      </c>
      <c r="AF13" s="896">
        <f t="shared" si="2"/>
        <v>54</v>
      </c>
      <c r="AG13" s="896">
        <f t="shared" si="2"/>
        <v>0</v>
      </c>
      <c r="AH13" s="896">
        <f t="shared" si="2"/>
        <v>136</v>
      </c>
      <c r="AI13" s="896">
        <f t="shared" si="2"/>
        <v>0</v>
      </c>
      <c r="AJ13" s="896">
        <f t="shared" si="2"/>
        <v>0</v>
      </c>
      <c r="AK13" s="896">
        <f t="shared" si="2"/>
        <v>0</v>
      </c>
      <c r="AL13" s="896">
        <f t="shared" si="2"/>
        <v>0</v>
      </c>
      <c r="AM13" s="896">
        <f t="shared" si="2"/>
        <v>3684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432</v>
      </c>
      <c r="BD13" s="896">
        <f t="shared" si="2"/>
        <v>435</v>
      </c>
      <c r="BE13" s="896">
        <f t="shared" si="2"/>
        <v>0</v>
      </c>
      <c r="BF13" s="896">
        <f t="shared" si="2"/>
        <v>0</v>
      </c>
      <c r="BG13" s="896">
        <f>IF(ISNUMBER(Datos!K13/Datos!J13),Datos!K13/Datos!J13," - ")</f>
        <v>0.58318264014466548</v>
      </c>
      <c r="BH13" s="900">
        <f>IF(ISNUMBER(((Datos!L13/Datos!K13)*11)/factor_trimestre),((Datos!L13/Datos!K13)*11)/factor_trimestre," - ")</f>
        <v>27.304651162790702</v>
      </c>
      <c r="BI13" s="896">
        <f>IF(ISNUMBER('Resol  Asuntos'!D13/NºAsuntos!G13),'Resol  Asuntos'!D13/NºAsuntos!G13," - ")</f>
        <v>0.32190760059612517</v>
      </c>
      <c r="BJ13" s="896" t="str">
        <f>IF(ISNUMBER(Datos!CI13/Datos!CJ13),Datos!CI13/Datos!CJ13," - ")</f>
        <v xml:space="preserve"> - </v>
      </c>
      <c r="BK13" s="896">
        <f>SUBTOTAL(9,BK8:BK12)</f>
        <v>0</v>
      </c>
      <c r="BL13" s="896">
        <f>IF(ISNUMBER((I13-AB13+L13)/(F13)),(I13-AB13+L13)/(F13)," - ")</f>
        <v>0</v>
      </c>
      <c r="BM13" s="901">
        <f>SUBTOTAL(9,BM9:BM12)</f>
        <v>1.7236586043925493E-2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917.26819550134383</v>
      </c>
      <c r="CF15" s="228">
        <f ca="1">AVERAGEIFS($AB:$AB,$BW:$BW,BW15,$BX:$BX,BX15)</f>
        <v>917.26819550134383</v>
      </c>
      <c r="CG15" s="1191">
        <v>0.7</v>
      </c>
      <c r="CH15" s="1191">
        <f ca="1">AVERAGEIF($BW:$BW,BW15,$AC:$AC)</f>
        <v>63.6</v>
      </c>
      <c r="CI15" s="228">
        <f ca="1">AVERAGEIFS($AC:$AC,$BW:$BW,BW15,$BX:$BX,BX15)</f>
        <v>63.6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1122.6666666666667</v>
      </c>
      <c r="CR15" s="228">
        <f ca="1">AVERAGEIFS($AF:$AF,$BW:$BW,BW15,$BX:$BX,BX15)</f>
        <v>1122.6666666666667</v>
      </c>
      <c r="CS15" s="1191">
        <v>1.3</v>
      </c>
      <c r="CT15" s="1191">
        <v>1.5</v>
      </c>
      <c r="CU15" s="1191">
        <f ca="1">AVERAGEIF($BW:$BW,$BW15,$AH:$AH)</f>
        <v>58.285714285714285</v>
      </c>
      <c r="CV15" s="228">
        <f ca="1">AVERAGEIFS($AH:$AH,$BW:$BW,$BW15,$BX:$BX,$BX15)</f>
        <v>58.285714285714285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1170.5999999999999</v>
      </c>
      <c r="DH15" s="228">
        <f ca="1">AVERAGEIFS($AM:$AM,$BW:$BW,$BW15,$BX:$BX,$BX15)</f>
        <v>1170.5999999999999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9.1985263198678968</v>
      </c>
      <c r="ER15" s="228">
        <f ca="1">AVERAGEIFS($BH:$BH,$BW:$BW,$BW15,$BX:$BX,$BX15)</f>
        <v>9.1985263198678968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917.26819550134383</v>
      </c>
      <c r="CF16" s="228">
        <f ca="1">AVERAGEIFS($AB:$AB,$BW:$BW,BW16,$BX:$BX,BX16)</f>
        <v>917.26819550134383</v>
      </c>
      <c r="CG16" s="1191">
        <v>0.7</v>
      </c>
      <c r="CH16" s="1191">
        <f ca="1">AVERAGEIF($BW:$BW,BW16,$AC:$AC)</f>
        <v>63.6</v>
      </c>
      <c r="CI16" s="228">
        <f ca="1">AVERAGEIFS($AC:$AC,$BW:$BW,BW16,$BX:$BX,BX16)</f>
        <v>63.6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1122.6666666666667</v>
      </c>
      <c r="CR16" s="228">
        <f ca="1">AVERAGEIFS($AF:$AF,$BW:$BW,BW16,$BX:$BX,BX16)</f>
        <v>1122.6666666666667</v>
      </c>
      <c r="CS16" s="1191">
        <v>1.3</v>
      </c>
      <c r="CT16" s="1191">
        <v>1.5</v>
      </c>
      <c r="CU16" s="1191">
        <f ca="1">AVERAGEIF($BW:$BW,$BW16,$AH:$AH)</f>
        <v>58.285714285714285</v>
      </c>
      <c r="CV16" s="228">
        <f ca="1">AVERAGEIFS($AH:$AH,$BW:$BW,$BW16,$BX:$BX,$BX16)</f>
        <v>58.285714285714285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1170.5999999999999</v>
      </c>
      <c r="DH16" s="228">
        <f ca="1">AVERAGEIFS($AM:$AM,$BW:$BW,$BW16,$BX:$BX,$BX16)</f>
        <v>1170.5999999999999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9.1985263198678968</v>
      </c>
      <c r="ER16" s="228">
        <f ca="1">AVERAGEIFS($BH:$BH,$BW:$BW,$BW16,$BX:$BX,$BX16)</f>
        <v>9.1985263198678968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3508</v>
      </c>
      <c r="G17" s="596">
        <f>IF(ISNUMBER(IF(D_I="SI",Datos!I17,Datos!I17+Datos!AC17)),IF(D_I="SI",Datos!I17,Datos!I17+Datos!AC17)," - ")</f>
        <v>3502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2527</v>
      </c>
      <c r="AC17" s="224">
        <f>IF(ISNUMBER(Datos!Q17),Datos!Q17," - ")</f>
        <v>123</v>
      </c>
      <c r="AD17" s="224"/>
      <c r="AE17" s="224"/>
      <c r="AF17" s="224">
        <f>IF(ISNUMBER(IF(D_I="SI",Datos!L17,Datos!L17+Datos!AF17)),IF(D_I="SI",Datos!L17,Datos!L17+Datos!AF17)," - ")</f>
        <v>3160</v>
      </c>
      <c r="AG17" s="333"/>
      <c r="AH17" s="224"/>
      <c r="AI17" s="224"/>
      <c r="AJ17" s="224"/>
      <c r="AK17" s="333"/>
      <c r="AL17" s="478"/>
      <c r="AM17" s="224">
        <f>IF(ISNUMBER(Datos!R17),Datos!R17," - ")</f>
        <v>218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249</v>
      </c>
      <c r="BD17" s="228">
        <f>IF(ISNUMBER(Datos!N17),Datos!N17," - ")</f>
        <v>1575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1.1597062872877466</v>
      </c>
      <c r="BH17" s="224">
        <f>IF(ISNUMBER(((IF(D_I="SI",Datos!L17/Datos!K17,(Datos!L17+Datos!AF17)/(Datos!K17+Datos!AE17)))*11)/factor_trimestre),((IF(D_I="SI",Datos!L17/Datos!K17,(Datos!L17+Datos!AF17)/(Datos!K17+Datos!AE17)))*11)/factor_trimestre," - ")</f>
        <v>3.7514839730906218</v>
      </c>
      <c r="BI17" s="242">
        <f>IF(ISNUMBER('Resol  Asuntos'!D17/NºAsuntos!G17),'Resol  Asuntos'!D17/NºAsuntos!G17," - ")</f>
        <v>9.8535813217253659E-2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917.26819550134383</v>
      </c>
      <c r="CF17" s="228">
        <f ca="1">AVERAGEIFS($AB:$AB,$BW:$BW,BW17,$BX:$BX,BX17)</f>
        <v>917.26819550134383</v>
      </c>
      <c r="CG17" s="1191">
        <v>0.7</v>
      </c>
      <c r="CH17" s="1191">
        <f ca="1">AVERAGEIF($BW:$BW,BW17,$AC:$AC)</f>
        <v>63.6</v>
      </c>
      <c r="CI17" s="228">
        <f ca="1">AVERAGEIFS($AC:$AC,$BW:$BW,BW17,$BX:$BX,BX17)</f>
        <v>63.6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1122.6666666666667</v>
      </c>
      <c r="CR17" s="228">
        <f ca="1">AVERAGEIFS($AF:$AF,$BW:$BW,BW17,$BX:$BX,BX17)</f>
        <v>1122.6666666666667</v>
      </c>
      <c r="CS17" s="1191">
        <v>1.3</v>
      </c>
      <c r="CT17" s="1191">
        <v>1.5</v>
      </c>
      <c r="CU17" s="1191">
        <f ca="1">AVERAGEIF($BW:$BW,$BW17,$AH:$AH)</f>
        <v>58.285714285714285</v>
      </c>
      <c r="CV17" s="228">
        <f ca="1">AVERAGEIFS($AH:$AH,$BW:$BW,$BW17,$BX:$BX,$BX17)</f>
        <v>58.285714285714285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1170.5999999999999</v>
      </c>
      <c r="DH17" s="228">
        <f ca="1">AVERAGEIFS($AM:$AM,$BW:$BW,$BW17,$BX:$BX,$BX17)</f>
        <v>1170.5999999999999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9.1985263198678968</v>
      </c>
      <c r="ER17" s="228">
        <f ca="1">AVERAGEIFS($BH:$BH,$BW:$BW,$BW17,$BX:$BX,$BX17)</f>
        <v>9.1985263198678968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67</v>
      </c>
      <c r="AC18" s="224">
        <f>IF(ISNUMBER(Datos!Q18),Datos!Q18," - ")</f>
        <v>0</v>
      </c>
      <c r="AD18" s="224"/>
      <c r="AE18" s="224"/>
      <c r="AF18" s="224">
        <f>IF(ISNUMBER(Datos!L18),Datos!L18,"-")</f>
        <v>154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45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0.72826086956521741</v>
      </c>
      <c r="BH18" s="224">
        <f>IF(ISNUMBER(((IF(D_I="SI",Datos!L18/Datos!K18,(Datos!L18+Datos!AF18)/(Datos!K18+Datos!AE18)))*11)/factor_trimestre),((IF(D_I="SI",Datos!L18/Datos!K18,(Datos!L18+Datos!AF18)/(Datos!K18+Datos!AE18)))*11)/factor_trimestre," - ")</f>
        <v>6.8955223880597023</v>
      </c>
      <c r="BI18" s="242">
        <f>IF(ISNUMBER('Resol  Asuntos'!D18/NºAsuntos!G18),'Resol  Asuntos'!D18/NºAsuntos!G18," - ")</f>
        <v>2.9850746268656716E-2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917.26819550134383</v>
      </c>
      <c r="CF18" s="228">
        <f ca="1">AVERAGEIFS($AB:$AB,$BW:$BW,BW18,$BX:$BX,BX18)</f>
        <v>917.26819550134383</v>
      </c>
      <c r="CG18" s="1191">
        <v>0.7</v>
      </c>
      <c r="CH18" s="1191">
        <f ca="1">AVERAGEIF($BW:$BW,BW18,$AC:$AC)</f>
        <v>63.6</v>
      </c>
      <c r="CI18" s="228">
        <f ca="1">AVERAGEIFS($AC:$AC,$BW:$BW,BW18,$BX:$BX,BX18)</f>
        <v>63.6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1122.6666666666667</v>
      </c>
      <c r="CR18" s="228">
        <f ca="1">AVERAGEIFS($AF:$AF,$BW:$BW,BW18,$BX:$BX,BX18)</f>
        <v>1122.6666666666667</v>
      </c>
      <c r="CS18" s="1191">
        <v>1.3</v>
      </c>
      <c r="CT18" s="1191">
        <v>1.5</v>
      </c>
      <c r="CU18" s="1191">
        <f ca="1">AVERAGEIF($BW:$BW,$BW18,$AH:$AH)</f>
        <v>58.285714285714285</v>
      </c>
      <c r="CV18" s="228">
        <f ca="1">AVERAGEIFS($AH:$AH,$BW:$BW,$BW18,$BX:$BX,$BX18)</f>
        <v>58.285714285714285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1170.5999999999999</v>
      </c>
      <c r="DH18" s="228">
        <f ca="1">AVERAGEIFS($AM:$AM,$BW:$BW,$BW18,$BX:$BX,$BX18)</f>
        <v>1170.5999999999999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9.1985263198678968</v>
      </c>
      <c r="ER18" s="228">
        <f ca="1">AVERAGEIFS($BH:$BH,$BW:$BW,$BW18,$BX:$BX,$BX18)</f>
        <v>9.1985263198678968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3508</v>
      </c>
      <c r="G19" s="895">
        <f>SUBTOTAL(9,G15:G18)</f>
        <v>3633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2594</v>
      </c>
      <c r="AC19" s="896">
        <f t="shared" si="5"/>
        <v>123</v>
      </c>
      <c r="AD19" s="896">
        <f t="shared" si="5"/>
        <v>0</v>
      </c>
      <c r="AE19" s="896">
        <f t="shared" si="5"/>
        <v>0</v>
      </c>
      <c r="AF19" s="896">
        <f t="shared" si="5"/>
        <v>3314</v>
      </c>
      <c r="AG19" s="896">
        <f t="shared" si="5"/>
        <v>0</v>
      </c>
      <c r="AH19" s="896">
        <f t="shared" si="5"/>
        <v>0</v>
      </c>
      <c r="AI19" s="896">
        <f t="shared" si="5"/>
        <v>0</v>
      </c>
      <c r="AJ19" s="896">
        <f t="shared" si="5"/>
        <v>0</v>
      </c>
      <c r="AK19" s="896">
        <f t="shared" si="5"/>
        <v>0</v>
      </c>
      <c r="AL19" s="896">
        <f t="shared" si="5"/>
        <v>0</v>
      </c>
      <c r="AM19" s="896">
        <f t="shared" si="5"/>
        <v>218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251</v>
      </c>
      <c r="BD19" s="896">
        <f t="shared" si="5"/>
        <v>1620</v>
      </c>
      <c r="BE19" s="896">
        <f t="shared" si="5"/>
        <v>0</v>
      </c>
      <c r="BF19" s="896">
        <f t="shared" si="5"/>
        <v>0</v>
      </c>
      <c r="BG19" s="896">
        <f>IF(ISNUMBER(Datos!K19/Datos!J19),Datos!K19/Datos!J19," - ")</f>
        <v>1.1422280933509468</v>
      </c>
      <c r="BH19" s="900">
        <f>IF(ISNUMBER(((Datos!L19/Datos!K19)*11)/factor_trimestre),((Datos!L19/Datos!K19)*11)/factor_trimestre," - ")</f>
        <v>3.832690824980725</v>
      </c>
      <c r="BI19" s="896">
        <f>SUBTOTAL(9,BI15:BI18)</f>
        <v>0.12838655948591038</v>
      </c>
      <c r="BJ19" s="896">
        <f>SUBTOTAL(9,BJ15:BJ18)</f>
        <v>0</v>
      </c>
      <c r="BK19" s="896">
        <f>SUBTOTAL(9,BK15:BK18)</f>
        <v>0</v>
      </c>
      <c r="BL19" s="896">
        <f>IF(ISNUMBER((I19-AB19+L19)/(F19)),(I19-AB19+L19)/(F19)," - ")</f>
        <v>-0.73945267958950966</v>
      </c>
      <c r="BM19" s="902">
        <f>IF(ISNUMBER((Datos!P19-Datos!Q19)/(Datos!R19-Datos!P19+Datos!Q19)),(Datos!P19-Datos!Q19)/(Datos!R19-Datos!P19+Datos!Q19)," - ")</f>
        <v>-0.31446540880503143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3561</v>
      </c>
      <c r="G20" s="817">
        <f t="shared" si="7"/>
        <v>3686</v>
      </c>
      <c r="H20" s="819">
        <f t="shared" si="7"/>
        <v>0</v>
      </c>
      <c r="I20" s="817">
        <f t="shared" si="7"/>
        <v>0</v>
      </c>
      <c r="J20" s="819">
        <f t="shared" si="7"/>
        <v>0</v>
      </c>
      <c r="K20" s="819">
        <f t="shared" si="7"/>
        <v>0</v>
      </c>
      <c r="L20" s="878">
        <f t="shared" si="7"/>
        <v>0</v>
      </c>
      <c r="M20" s="878">
        <f t="shared" si="7"/>
        <v>0</v>
      </c>
      <c r="N20" s="878">
        <f t="shared" si="7"/>
        <v>67</v>
      </c>
      <c r="O20" s="878">
        <f t="shared" si="7"/>
        <v>0</v>
      </c>
      <c r="P20" s="878">
        <f t="shared" si="7"/>
        <v>0</v>
      </c>
      <c r="Q20" s="819">
        <f t="shared" si="7"/>
        <v>174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2594</v>
      </c>
      <c r="AC20" s="818">
        <f t="shared" si="8"/>
        <v>212</v>
      </c>
      <c r="AD20" s="818">
        <f t="shared" si="8"/>
        <v>0</v>
      </c>
      <c r="AE20" s="818">
        <f t="shared" si="8"/>
        <v>0</v>
      </c>
      <c r="AF20" s="825">
        <f t="shared" si="8"/>
        <v>3368</v>
      </c>
      <c r="AG20" s="825">
        <f t="shared" si="8"/>
        <v>0</v>
      </c>
      <c r="AH20" s="825">
        <f t="shared" si="8"/>
        <v>136</v>
      </c>
      <c r="AI20" s="825">
        <f t="shared" si="8"/>
        <v>0</v>
      </c>
      <c r="AJ20" s="818">
        <f t="shared" si="8"/>
        <v>0</v>
      </c>
      <c r="AK20" s="825">
        <f t="shared" si="8"/>
        <v>0</v>
      </c>
      <c r="AL20" s="825">
        <f t="shared" si="8"/>
        <v>0</v>
      </c>
      <c r="AM20" s="825">
        <f t="shared" si="8"/>
        <v>3902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683</v>
      </c>
      <c r="BD20" s="817">
        <f t="shared" si="8"/>
        <v>2055</v>
      </c>
      <c r="BE20" s="817">
        <f t="shared" si="8"/>
        <v>0</v>
      </c>
      <c r="BF20" s="827">
        <f t="shared" si="8"/>
        <v>0</v>
      </c>
      <c r="BG20" s="912">
        <f>IF(ISNUMBER(Datos!K20/Datos!J20),Datos!K20/Datos!J20," - ")</f>
        <v>0.86638411777827351</v>
      </c>
      <c r="BH20" s="912">
        <f>IF(ISNUMBER(((Datos!L20/Datos!K20)*11)/factor_trimestre),((Datos!L20/Datos!K20)*11)/factor_trimestre," - ")</f>
        <v>11.628475798146241</v>
      </c>
      <c r="BI20" s="810">
        <f>IF(ISNUMBER(Datos!J20/Datos!I20),Datos!J20/Datos!I20," - ")</f>
        <v>0.31019928037641847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-0.72844706543105864</v>
      </c>
      <c r="BM20" s="886">
        <f>IF(ISNUMBER((Datos!P20-Datos!Q20+R20)/(Datos!R20-Datos!P20+Datos!Q20-R20)),(Datos!P20-Datos!Q20+R20)/(Datos!R20-Datos!P20+Datos!Q20-R20)," - ")</f>
        <v>-9.6446700507614221E-3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1474.4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1994.7451800501572</v>
      </c>
      <c r="G22" s="551">
        <f>IF(ISNUMBER(STDEV(G8:G19)),STDEV(G8:G19),"-")</f>
        <v>1911.5566431576124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1390.6819550134387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193.52588112876961</v>
      </c>
      <c r="BD22" s="550"/>
      <c r="BE22" s="550">
        <f>IF(ISNUMBER(STDEV(BE8:BE19)),STDEV(BE8:BE19),"-")</f>
        <v>0</v>
      </c>
      <c r="BF22" s="555">
        <f>IF(ISNUMBER(STDEV(BF8:BF19)),STDEV(BF8:BF19),"-")</f>
        <v>0</v>
      </c>
      <c r="BG22" s="772">
        <f>IF(ISNUMBER(STDEV(BG8:BG19)),STDEV(BG8:BG19),"-")</f>
        <v>0.42979887502164171</v>
      </c>
      <c r="BH22" s="773">
        <f>IF(ISNUMBER(STDEV(BH8:BH19)),STDEV(BH8:BH19),"-")</f>
        <v>12.142483760999955</v>
      </c>
      <c r="BI22" s="248">
        <f>IF(ISNUMBER(STDEV(BI8:BI19)),STDEV(BI8:BI19),"-")</f>
        <v>0.12515342812916469</v>
      </c>
      <c r="BJ22" s="986" t="str">
        <f>IF(ISNUMBER(BL22/BM22),BL22/BM22," - ")</f>
        <v xml:space="preserve"> - </v>
      </c>
      <c r="BK22" s="574"/>
      <c r="BL22" s="558">
        <f>IF(ISNUMBER(STDEV(BL8:BL19)),STDEV(BL8:BL19),"-")</f>
        <v>0.52287200410430568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kgEOQZmkEvgjWCJel0AMuaSGUxdwNQQpdA5MriYvKdlvIf/hXJoc69P44fY3TNszjSVocaHhjN2XAyjV/NHWA==" saltValue="4lMMzYWQZBII1uKPHepZn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PRAT DE LLOBREGAT, EL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0.32190760059612517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0.2276230472970108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nafKhG4zipeEFTgV+OST+c9/NKTgQw57XKs7DA6AhoECgWfS28FpNyf3uVQfepC+kJWIst8JvAKiaiZRLa8iw==" saltValue="jdTFD511D99gzHHlEkcC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PRAT DE LLOBREGAT, EL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ES6BULjBvtMfYw9hGtEG+PbLoyt67/uC+KKae7KQf9zkP0lgxzCwSwXtDyYcqe0E6tkFRE/Q6gf/Kb9nV9+g==" saltValue="BQpty4pv8t/O1g8c5X7GN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